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klaus-peter.rosenthal/Library/Mobile Documents/com~apple~CloudDocs/Solarerlebensstil/Präsentationen/Wirtschaftlichkeit/Kalkulationen/"/>
    </mc:Choice>
  </mc:AlternateContent>
  <xr:revisionPtr revIDLastSave="0" documentId="13_ncr:1_{0E03EC48-0745-A74A-808B-23FBDFE8F9BD}" xr6:coauthVersionLast="36" xr6:coauthVersionMax="36" xr10:uidLastSave="{00000000-0000-0000-0000-000000000000}"/>
  <bookViews>
    <workbookView xWindow="0" yWindow="760" windowWidth="34560" windowHeight="21580" activeTab="7" xr2:uid="{00000000-000D-0000-FFFF-FFFF00000000}"/>
  </bookViews>
  <sheets>
    <sheet name="Anlagen Spezifikation" sheetId="1" r:id="rId1"/>
    <sheet name="Kennwerte" sheetId="2" r:id="rId2"/>
    <sheet name="NPV" sheetId="3" r:id="rId3"/>
    <sheet name="Kapitalwertmethode" sheetId="4" r:id="rId4"/>
    <sheet name="Dynamische Amortisation" sheetId="5" r:id="rId5"/>
    <sheet name="Zinsfussmethode" sheetId="6" r:id="rId6"/>
    <sheet name="Annuitätsmethode" sheetId="7" r:id="rId7"/>
    <sheet name="Hilftstabelle - Barwert" sheetId="8" r:id="rId8"/>
  </sheets>
  <calcPr calcId="181029"/>
</workbook>
</file>

<file path=xl/calcChain.xml><?xml version="1.0" encoding="utf-8"?>
<calcChain xmlns="http://schemas.openxmlformats.org/spreadsheetml/2006/main">
  <c r="D9" i="8" l="1"/>
  <c r="E9" i="8" s="1"/>
  <c r="E8" i="8"/>
  <c r="D8" i="8"/>
  <c r="D7" i="8"/>
  <c r="E7" i="8" s="1"/>
  <c r="D6" i="8"/>
  <c r="E6" i="8" s="1"/>
  <c r="D5" i="8"/>
  <c r="E5" i="8" s="1"/>
  <c r="E4" i="8" s="1"/>
  <c r="E3" i="8" s="1"/>
  <c r="B10" i="7"/>
  <c r="B9" i="7"/>
  <c r="C4" i="7"/>
  <c r="B4" i="7"/>
  <c r="A4" i="7"/>
  <c r="A3" i="7"/>
  <c r="C2" i="7"/>
  <c r="B2" i="7"/>
  <c r="A4" i="6"/>
  <c r="A3" i="6"/>
  <c r="D2" i="6"/>
  <c r="C2" i="6"/>
  <c r="B29" i="5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9" i="5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8" i="5"/>
  <c r="B7" i="5"/>
  <c r="A4" i="5"/>
  <c r="A9" i="2" s="1"/>
  <c r="A3" i="5"/>
  <c r="D2" i="5"/>
  <c r="C2" i="5"/>
  <c r="A4" i="4"/>
  <c r="A3" i="4"/>
  <c r="D2" i="4"/>
  <c r="C2" i="4"/>
  <c r="B94" i="3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93" i="3"/>
  <c r="B92" i="3"/>
  <c r="B72" i="3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52" i="3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51" i="3"/>
  <c r="B30" i="3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9" i="3"/>
  <c r="C4" i="3"/>
  <c r="C6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3" i="3"/>
  <c r="C5" i="3" s="1"/>
  <c r="D2" i="3"/>
  <c r="C2" i="3"/>
  <c r="A12" i="2"/>
  <c r="A11" i="2"/>
  <c r="C7" i="2"/>
  <c r="B7" i="2"/>
  <c r="A7" i="2"/>
  <c r="A6" i="2"/>
  <c r="A5" i="2"/>
  <c r="C4" i="2"/>
  <c r="B4" i="2"/>
  <c r="A4" i="2"/>
  <c r="C3" i="2"/>
  <c r="B3" i="2"/>
  <c r="A3" i="2"/>
  <c r="C2" i="2"/>
  <c r="B2" i="2"/>
  <c r="D36" i="1"/>
  <c r="C36" i="1"/>
  <c r="C35" i="1"/>
  <c r="C37" i="1" s="1"/>
  <c r="B6" i="2" s="1"/>
  <c r="C33" i="1"/>
  <c r="D31" i="1"/>
  <c r="C31" i="1"/>
  <c r="D30" i="1"/>
  <c r="C30" i="1"/>
  <c r="C28" i="1"/>
  <c r="D27" i="1"/>
  <c r="D32" i="1" s="1"/>
  <c r="C27" i="1"/>
  <c r="C32" i="1" s="1"/>
  <c r="C26" i="1"/>
  <c r="D25" i="1"/>
  <c r="D26" i="1" s="1"/>
  <c r="D28" i="1" s="1"/>
  <c r="C25" i="1"/>
  <c r="D21" i="1"/>
  <c r="D20" i="1"/>
  <c r="D3" i="3" s="1"/>
  <c r="D5" i="3" s="1"/>
  <c r="D14" i="1"/>
  <c r="D3" i="5" s="1"/>
  <c r="C14" i="1"/>
  <c r="C71" i="3" l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10" i="7"/>
  <c r="C9" i="7"/>
  <c r="D4" i="3"/>
  <c r="D6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C92" i="3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D71" i="3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35" i="1"/>
  <c r="D37" i="1" s="1"/>
  <c r="C6" i="2" s="1"/>
  <c r="C3" i="5"/>
  <c r="C3" i="4"/>
  <c r="B5" i="2"/>
  <c r="B3" i="7" s="1"/>
  <c r="C38" i="1"/>
  <c r="C3" i="6"/>
  <c r="C29" i="3"/>
  <c r="D33" i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D106" i="3" s="1"/>
  <c r="D107" i="3" s="1"/>
  <c r="D108" i="3" s="1"/>
  <c r="D109" i="3" s="1"/>
  <c r="D110" i="3" s="1"/>
  <c r="D111" i="3" s="1"/>
  <c r="D3" i="6"/>
  <c r="D38" i="1"/>
  <c r="C5" i="2"/>
  <c r="C3" i="7" s="1"/>
  <c r="D3" i="4"/>
  <c r="C8" i="3" l="1"/>
  <c r="C30" i="3"/>
  <c r="C7" i="6"/>
  <c r="D29" i="3"/>
  <c r="D8" i="3" l="1"/>
  <c r="D30" i="3"/>
  <c r="C9" i="3"/>
  <c r="C31" i="3"/>
  <c r="C8" i="4"/>
  <c r="C7" i="5"/>
  <c r="C28" i="5" l="1"/>
  <c r="C8" i="5"/>
  <c r="C10" i="3"/>
  <c r="C32" i="3"/>
  <c r="C9" i="4"/>
  <c r="C8" i="6"/>
  <c r="D31" i="3"/>
  <c r="D9" i="3"/>
  <c r="D7" i="5"/>
  <c r="D8" i="4"/>
  <c r="D7" i="6"/>
  <c r="D32" i="3" l="1"/>
  <c r="D10" i="3"/>
  <c r="C10" i="4"/>
  <c r="C9" i="6"/>
  <c r="D8" i="5"/>
  <c r="D28" i="5"/>
  <c r="D9" i="4"/>
  <c r="D8" i="6"/>
  <c r="C33" i="3"/>
  <c r="C11" i="3"/>
  <c r="C29" i="5"/>
  <c r="C9" i="5"/>
  <c r="D29" i="5" l="1"/>
  <c r="D9" i="5"/>
  <c r="C12" i="3"/>
  <c r="C34" i="3"/>
  <c r="C10" i="5"/>
  <c r="C30" i="5"/>
  <c r="D11" i="3"/>
  <c r="D33" i="3"/>
  <c r="C11" i="4"/>
  <c r="C10" i="6"/>
  <c r="D10" i="4"/>
  <c r="D9" i="6"/>
  <c r="D12" i="3" l="1"/>
  <c r="D34" i="3"/>
  <c r="D11" i="4"/>
  <c r="D10" i="6"/>
  <c r="C31" i="5"/>
  <c r="C11" i="5"/>
  <c r="C35" i="3"/>
  <c r="C13" i="3"/>
  <c r="C11" i="6"/>
  <c r="C12" i="4"/>
  <c r="D30" i="5"/>
  <c r="D10" i="5"/>
  <c r="D13" i="3" l="1"/>
  <c r="D35" i="3"/>
  <c r="D12" i="4"/>
  <c r="D11" i="6"/>
  <c r="C13" i="4"/>
  <c r="C12" i="6"/>
  <c r="C12" i="5"/>
  <c r="C32" i="5"/>
  <c r="D31" i="5"/>
  <c r="D11" i="5"/>
  <c r="C36" i="3"/>
  <c r="C14" i="3"/>
  <c r="C13" i="5" l="1"/>
  <c r="C33" i="5"/>
  <c r="C13" i="6"/>
  <c r="C14" i="4"/>
  <c r="D36" i="3"/>
  <c r="D14" i="3"/>
  <c r="C15" i="3"/>
  <c r="C37" i="3"/>
  <c r="D12" i="6"/>
  <c r="D13" i="4"/>
  <c r="D12" i="5"/>
  <c r="D32" i="5"/>
  <c r="D13" i="5" l="1"/>
  <c r="D33" i="5"/>
  <c r="D13" i="6"/>
  <c r="D14" i="4"/>
  <c r="D15" i="3"/>
  <c r="D37" i="3"/>
  <c r="C38" i="3"/>
  <c r="C16" i="3"/>
  <c r="C14" i="6"/>
  <c r="C15" i="4"/>
  <c r="C34" i="5"/>
  <c r="C14" i="5"/>
  <c r="C16" i="4" l="1"/>
  <c r="C15" i="6"/>
  <c r="D16" i="3"/>
  <c r="D38" i="3"/>
  <c r="C39" i="3"/>
  <c r="C17" i="3"/>
  <c r="D15" i="4"/>
  <c r="D14" i="6"/>
  <c r="C35" i="5"/>
  <c r="C15" i="5"/>
  <c r="D34" i="5"/>
  <c r="D14" i="5"/>
  <c r="C17" i="4" l="1"/>
  <c r="C16" i="6"/>
  <c r="D39" i="3"/>
  <c r="D17" i="3"/>
  <c r="C40" i="3"/>
  <c r="C18" i="3"/>
  <c r="D15" i="5"/>
  <c r="D35" i="5"/>
  <c r="D16" i="4"/>
  <c r="D15" i="6"/>
  <c r="C16" i="5"/>
  <c r="C36" i="5"/>
  <c r="C18" i="4" l="1"/>
  <c r="C17" i="6"/>
  <c r="D16" i="5"/>
  <c r="D36" i="5"/>
  <c r="C19" i="3"/>
  <c r="C41" i="3"/>
  <c r="D17" i="4"/>
  <c r="D16" i="6"/>
  <c r="D18" i="3"/>
  <c r="D40" i="3"/>
  <c r="C17" i="5"/>
  <c r="C37" i="5"/>
  <c r="C18" i="6" l="1"/>
  <c r="C19" i="4"/>
  <c r="D37" i="5"/>
  <c r="D17" i="5"/>
  <c r="C20" i="3"/>
  <c r="C42" i="3"/>
  <c r="C38" i="5"/>
  <c r="C18" i="5"/>
  <c r="D41" i="3"/>
  <c r="D19" i="3"/>
  <c r="D17" i="6"/>
  <c r="D18" i="4"/>
  <c r="D18" i="6" l="1"/>
  <c r="D19" i="4"/>
  <c r="C39" i="5"/>
  <c r="C19" i="5"/>
  <c r="C43" i="3"/>
  <c r="C21" i="3"/>
  <c r="D20" i="3"/>
  <c r="D42" i="3"/>
  <c r="C19" i="6"/>
  <c r="C20" i="4"/>
  <c r="D38" i="5"/>
  <c r="D18" i="5"/>
  <c r="D19" i="6" l="1"/>
  <c r="D20" i="4"/>
  <c r="D43" i="3"/>
  <c r="D21" i="3"/>
  <c r="C20" i="6"/>
  <c r="C21" i="4"/>
  <c r="C22" i="3"/>
  <c r="C44" i="3"/>
  <c r="C20" i="5"/>
  <c r="C40" i="5"/>
  <c r="D19" i="5"/>
  <c r="D39" i="5"/>
  <c r="C41" i="5" l="1"/>
  <c r="C21" i="5"/>
  <c r="C22" i="4"/>
  <c r="C21" i="6"/>
  <c r="C23" i="3"/>
  <c r="C45" i="3"/>
  <c r="D20" i="6"/>
  <c r="D21" i="4"/>
  <c r="D44" i="3"/>
  <c r="D22" i="3"/>
  <c r="D20" i="5"/>
  <c r="D40" i="5"/>
  <c r="D22" i="4" l="1"/>
  <c r="D21" i="6"/>
  <c r="C24" i="3"/>
  <c r="C46" i="3"/>
  <c r="D23" i="3"/>
  <c r="D45" i="3"/>
  <c r="C23" i="4"/>
  <c r="C22" i="6"/>
  <c r="C42" i="5"/>
  <c r="C22" i="5"/>
  <c r="D41" i="5"/>
  <c r="D21" i="5"/>
  <c r="D22" i="6" l="1"/>
  <c r="D23" i="4"/>
  <c r="C23" i="5"/>
  <c r="C43" i="5"/>
  <c r="D46" i="3"/>
  <c r="D24" i="3"/>
  <c r="C47" i="3"/>
  <c r="C25" i="3"/>
  <c r="C24" i="4"/>
  <c r="C23" i="6"/>
  <c r="D42" i="5"/>
  <c r="D22" i="5"/>
  <c r="C48" i="3" l="1"/>
  <c r="C27" i="3" s="1"/>
  <c r="C26" i="3"/>
  <c r="D47" i="3"/>
  <c r="D25" i="3"/>
  <c r="C24" i="6"/>
  <c r="C25" i="4"/>
  <c r="D24" i="4"/>
  <c r="D23" i="6"/>
  <c r="C24" i="5"/>
  <c r="C44" i="5"/>
  <c r="D23" i="5"/>
  <c r="D43" i="5"/>
  <c r="D24" i="6" l="1"/>
  <c r="D25" i="4"/>
  <c r="C25" i="5"/>
  <c r="C45" i="5"/>
  <c r="D48" i="3"/>
  <c r="D27" i="3" s="1"/>
  <c r="D26" i="3"/>
  <c r="C25" i="6"/>
  <c r="C26" i="4"/>
  <c r="D44" i="5"/>
  <c r="D24" i="5"/>
  <c r="C27" i="4"/>
  <c r="C26" i="6"/>
  <c r="C4" i="5"/>
  <c r="C46" i="5" l="1"/>
  <c r="C26" i="5"/>
  <c r="C47" i="5" s="1"/>
  <c r="C5" i="5" s="1"/>
  <c r="B11" i="2" s="1"/>
  <c r="C4" i="6"/>
  <c r="C5" i="6"/>
  <c r="B13" i="2" s="1"/>
  <c r="D45" i="5"/>
  <c r="D25" i="5"/>
  <c r="D25" i="6"/>
  <c r="D26" i="4"/>
  <c r="D27" i="4"/>
  <c r="D5" i="4" s="1"/>
  <c r="D26" i="6"/>
  <c r="D4" i="5"/>
  <c r="C5" i="4"/>
  <c r="D4" i="6" l="1"/>
  <c r="D5" i="6"/>
  <c r="C13" i="2" s="1"/>
  <c r="C5" i="7"/>
  <c r="C10" i="2"/>
  <c r="D4" i="4"/>
  <c r="C9" i="2" s="1"/>
  <c r="D26" i="5"/>
  <c r="D47" i="5" s="1"/>
  <c r="D46" i="5"/>
  <c r="B5" i="7"/>
  <c r="B10" i="2"/>
  <c r="C4" i="4"/>
  <c r="B9" i="2" s="1"/>
  <c r="B6" i="7" l="1"/>
  <c r="B7" i="7"/>
  <c r="B12" i="7"/>
  <c r="D5" i="5"/>
  <c r="C11" i="2" s="1"/>
  <c r="C6" i="7"/>
  <c r="C7" i="7"/>
  <c r="C12" i="7"/>
  <c r="C15" i="7" l="1"/>
  <c r="C12" i="2"/>
  <c r="B12" i="2"/>
  <c r="B15" i="7"/>
  <c r="B16" i="7" l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C16" i="7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14" i="7" l="1"/>
  <c r="B14" i="7"/>
</calcChain>
</file>

<file path=xl/sharedStrings.xml><?xml version="1.0" encoding="utf-8"?>
<sst xmlns="http://schemas.openxmlformats.org/spreadsheetml/2006/main" count="86" uniqueCount="77">
  <si>
    <t>Spezifikation der PV-Anlagen - Grobe Wirtschaftlichkeitsrechnung</t>
  </si>
  <si>
    <t>9,75kWp</t>
  </si>
  <si>
    <t>12,76kWp</t>
  </si>
  <si>
    <t>Anlagen-parameter</t>
  </si>
  <si>
    <t>Anlagenleistung (kWp)</t>
  </si>
  <si>
    <t>Speichergröße (in kWh)</t>
  </si>
  <si>
    <t>Spezifischer Ertrag (kWh/kWp)</t>
  </si>
  <si>
    <t>Ertragsminderung (Verschattung, Dachausrichtung,…)</t>
  </si>
  <si>
    <t>Energie-parameter</t>
  </si>
  <si>
    <t>Verbrauch (kWh/a)</t>
  </si>
  <si>
    <t>Autarkiegrad inkl. Speicher (in %)</t>
  </si>
  <si>
    <t>Eigenverbrauchsquote (in %)</t>
  </si>
  <si>
    <t>Netzeinspeisung (in %)</t>
  </si>
  <si>
    <t>Wirtschafts-daten</t>
  </si>
  <si>
    <t>Anlagenkosten (in €)</t>
  </si>
  <si>
    <t>Fixkosten (Gerüst, Zähleranlage, …) (in €)</t>
  </si>
  <si>
    <t>Förderung (in €)</t>
  </si>
  <si>
    <t>Invest (in €)</t>
  </si>
  <si>
    <t>Betriebskosten Abschätzung (in €/kWp)</t>
  </si>
  <si>
    <t>Instandhaltungskosten (in % des Invest)</t>
  </si>
  <si>
    <t>Stromkosten Arbeitspreise (in €/kWh)</t>
  </si>
  <si>
    <t>Stromkosten Grundpreis (in €/a)</t>
  </si>
  <si>
    <t>Einspeisevergütung (in €/kWh)</t>
  </si>
  <si>
    <t>Inflation (in %)</t>
  </si>
  <si>
    <t>Diskontierungssatz (in %)</t>
  </si>
  <si>
    <t>Kapitalverzinsung (extern)</t>
  </si>
  <si>
    <t>Betrachtungszeitraum in Jahren</t>
  </si>
  <si>
    <t>Energiefluss</t>
  </si>
  <si>
    <t>Jährlicher Ertrag (kWh/a)</t>
  </si>
  <si>
    <t>Direktverbrauch (kWh/a)</t>
  </si>
  <si>
    <t>Einspeisung (kWh/a)</t>
  </si>
  <si>
    <t>Zukauf (kWh/a)</t>
  </si>
  <si>
    <t>Kosten und Einnahmen</t>
  </si>
  <si>
    <t>Instandhaltungskosten (in €/a)</t>
  </si>
  <si>
    <t>Betriebskosten (in €/a)</t>
  </si>
  <si>
    <t>Einspeisevergütung (in €/a)</t>
  </si>
  <si>
    <t>Einsparung im 1. Jahr (in €/a)</t>
  </si>
  <si>
    <t>Überschuss</t>
  </si>
  <si>
    <t>Einnahmen im 1. Jahr (in €/a)</t>
  </si>
  <si>
    <t>Ausgaben im 1. Jahr (in €/a)</t>
  </si>
  <si>
    <t>Überschuss im 1. Jahr (in €/a)</t>
  </si>
  <si>
    <t>Abschätzung der Amortisation in Jahren</t>
  </si>
  <si>
    <t>Kennwerte</t>
  </si>
  <si>
    <t>Kennwert</t>
  </si>
  <si>
    <t>Kapitalwert</t>
  </si>
  <si>
    <t>Amortisation (in Jahren)</t>
  </si>
  <si>
    <t>Interner Zinsfuß</t>
  </si>
  <si>
    <t>NPV (Net Present Value), Netto Cashflow</t>
  </si>
  <si>
    <t>Jahr</t>
  </si>
  <si>
    <t>Inflation</t>
  </si>
  <si>
    <t>Diskontierung</t>
  </si>
  <si>
    <t>Inflationssatz</t>
  </si>
  <si>
    <t>Diskontierungssatz</t>
  </si>
  <si>
    <t>Netto Cashflow (NPV) oder Barwert</t>
  </si>
  <si>
    <t>Instandhaltungs-kosten mit Inflation und Diskontierung</t>
  </si>
  <si>
    <t>Betriebskosten mit Inflation und Diskontierung</t>
  </si>
  <si>
    <t>Einspeisevergütung mit Diskontierung</t>
  </si>
  <si>
    <t>Einsparung mit Diskontierung und Inflation</t>
  </si>
  <si>
    <t>Kapitalwertmethode</t>
  </si>
  <si>
    <t>Zahlungen nach Jahren</t>
  </si>
  <si>
    <t>Dynamische Amortisation</t>
  </si>
  <si>
    <t>NPV nach Jahren</t>
  </si>
  <si>
    <t>Hilfstabelle für die Berechnung der Amortisation (0: Negativer NPV, 1: Positiver NPV)</t>
  </si>
  <si>
    <t>Zinsfussmethode</t>
  </si>
  <si>
    <t>IRR (Zinsfuss)</t>
  </si>
  <si>
    <t>Tabelle 1</t>
  </si>
  <si>
    <t>Kapitalwert -0,1%</t>
  </si>
  <si>
    <t>Kapitalwert +0,1%</t>
  </si>
  <si>
    <t>Resultierender Zins q-r</t>
  </si>
  <si>
    <t>Resultierender Zinsfaktor (q-r)</t>
  </si>
  <si>
    <t>Annuität - RMZ()</t>
  </si>
  <si>
    <t>Check Annuität</t>
  </si>
  <si>
    <t>Hilftstabelle - Barwert</t>
  </si>
  <si>
    <t>Ausgaben</t>
  </si>
  <si>
    <t>Einnahmen</t>
  </si>
  <si>
    <t>Zahlungen</t>
  </si>
  <si>
    <t>Barwert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</si>
</sst>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0.0%"/>
    <numFmt numFmtId="166" formatCode="#,##0.000000000000"/>
  </numFmts>
  <fonts count="3" x14ac:knownFonts="1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1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1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74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vertical="top" wrapText="1"/>
    </xf>
    <xf numFmtId="49" fontId="2" fillId="3" borderId="3" xfId="0" applyNumberFormat="1" applyFont="1" applyFill="1" applyBorder="1" applyAlignment="1">
      <alignment vertical="top" wrapText="1"/>
    </xf>
    <xf numFmtId="4" fontId="0" fillId="4" borderId="4" xfId="0" applyNumberFormat="1" applyFont="1" applyFill="1" applyBorder="1" applyAlignment="1">
      <alignment vertical="top" wrapText="1"/>
    </xf>
    <xf numFmtId="4" fontId="0" fillId="4" borderId="2" xfId="0" applyNumberFormat="1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49" fontId="2" fillId="3" borderId="6" xfId="0" applyNumberFormat="1" applyFont="1" applyFill="1" applyBorder="1" applyAlignment="1">
      <alignment vertical="top" wrapText="1"/>
    </xf>
    <xf numFmtId="4" fontId="0" fillId="4" borderId="7" xfId="0" applyNumberFormat="1" applyFont="1" applyFill="1" applyBorder="1" applyAlignment="1">
      <alignment vertical="top" wrapText="1"/>
    </xf>
    <xf numFmtId="4" fontId="0" fillId="4" borderId="5" xfId="0" applyNumberFormat="1" applyFont="1" applyFill="1" applyBorder="1" applyAlignment="1">
      <alignment vertical="top" wrapText="1"/>
    </xf>
    <xf numFmtId="49" fontId="2" fillId="3" borderId="9" xfId="0" applyNumberFormat="1" applyFont="1" applyFill="1" applyBorder="1" applyAlignment="1">
      <alignment vertical="top" wrapText="1"/>
    </xf>
    <xf numFmtId="4" fontId="0" fillId="4" borderId="10" xfId="0" applyNumberFormat="1" applyFont="1" applyFill="1" applyBorder="1" applyAlignment="1">
      <alignment vertical="top" wrapText="1"/>
    </xf>
    <xf numFmtId="4" fontId="0" fillId="4" borderId="8" xfId="0" applyNumberFormat="1" applyFont="1" applyFill="1" applyBorder="1" applyAlignment="1">
      <alignment vertical="top" wrapText="1"/>
    </xf>
    <xf numFmtId="49" fontId="2" fillId="3" borderId="12" xfId="0" applyNumberFormat="1" applyFont="1" applyFill="1" applyBorder="1" applyAlignment="1">
      <alignment vertical="top" wrapText="1"/>
    </xf>
    <xf numFmtId="4" fontId="0" fillId="4" borderId="13" xfId="0" applyNumberFormat="1" applyFont="1" applyFill="1" applyBorder="1" applyAlignment="1">
      <alignment vertical="top" wrapText="1"/>
    </xf>
    <xf numFmtId="4" fontId="0" fillId="4" borderId="11" xfId="0" applyNumberFormat="1" applyFont="1" applyFill="1" applyBorder="1" applyAlignment="1">
      <alignment vertical="top" wrapText="1"/>
    </xf>
    <xf numFmtId="4" fontId="0" fillId="4" borderId="14" xfId="0" applyNumberFormat="1" applyFont="1" applyFill="1" applyBorder="1" applyAlignment="1">
      <alignment vertical="top" wrapText="1"/>
    </xf>
    <xf numFmtId="4" fontId="0" fillId="4" borderId="15" xfId="0" applyNumberFormat="1" applyFont="1" applyFill="1" applyBorder="1" applyAlignment="1">
      <alignment vertical="top" wrapText="1"/>
    </xf>
    <xf numFmtId="4" fontId="2" fillId="0" borderId="16" xfId="0" applyNumberFormat="1" applyFont="1" applyBorder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3" fontId="0" fillId="5" borderId="10" xfId="0" applyNumberFormat="1" applyFont="1" applyFill="1" applyBorder="1" applyAlignment="1">
      <alignment vertical="top" wrapText="1"/>
    </xf>
    <xf numFmtId="3" fontId="0" fillId="5" borderId="8" xfId="0" applyNumberFormat="1" applyFont="1" applyFill="1" applyBorder="1" applyAlignment="1">
      <alignment vertical="top" wrapText="1"/>
    </xf>
    <xf numFmtId="0" fontId="2" fillId="3" borderId="11" xfId="0" applyFont="1" applyFill="1" applyBorder="1" applyAlignment="1">
      <alignment vertical="top" wrapText="1"/>
    </xf>
    <xf numFmtId="0" fontId="2" fillId="3" borderId="12" xfId="0" applyFont="1" applyFill="1" applyBorder="1" applyAlignment="1">
      <alignment vertical="top" wrapText="1"/>
    </xf>
    <xf numFmtId="4" fontId="0" fillId="0" borderId="13" xfId="0" applyNumberFormat="1" applyFont="1" applyBorder="1" applyAlignment="1">
      <alignment vertical="top" wrapText="1"/>
    </xf>
    <xf numFmtId="4" fontId="0" fillId="0" borderId="11" xfId="0" applyNumberFormat="1" applyFont="1" applyBorder="1" applyAlignment="1">
      <alignment vertical="top" wrapText="1"/>
    </xf>
    <xf numFmtId="4" fontId="0" fillId="0" borderId="7" xfId="0" applyNumberFormat="1" applyFont="1" applyBorder="1" applyAlignment="1">
      <alignment vertical="top" wrapText="1"/>
    </xf>
    <xf numFmtId="4" fontId="0" fillId="0" borderId="5" xfId="0" applyNumberFormat="1" applyFont="1" applyBorder="1" applyAlignment="1">
      <alignment vertical="top" wrapText="1"/>
    </xf>
    <xf numFmtId="4" fontId="0" fillId="0" borderId="10" xfId="0" applyNumberFormat="1" applyFont="1" applyBorder="1" applyAlignment="1">
      <alignment vertical="top" wrapText="1"/>
    </xf>
    <xf numFmtId="4" fontId="0" fillId="0" borderId="8" xfId="0" applyNumberFormat="1" applyFont="1" applyBorder="1" applyAlignment="1">
      <alignment vertical="top" wrapText="1"/>
    </xf>
    <xf numFmtId="4" fontId="0" fillId="0" borderId="14" xfId="0" applyNumberFormat="1" applyFont="1" applyBorder="1" applyAlignment="1">
      <alignment vertical="top" wrapText="1"/>
    </xf>
    <xf numFmtId="4" fontId="0" fillId="0" borderId="15" xfId="0" applyNumberFormat="1" applyFont="1" applyBorder="1" applyAlignment="1">
      <alignment vertical="top" wrapText="1"/>
    </xf>
    <xf numFmtId="4" fontId="2" fillId="0" borderId="7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4" xfId="0" applyNumberFormat="1" applyFont="1" applyBorder="1" applyAlignment="1">
      <alignment vertical="top" wrapText="1"/>
    </xf>
    <xf numFmtId="0" fontId="0" fillId="0" borderId="2" xfId="0" applyNumberFormat="1" applyFont="1" applyBorder="1" applyAlignment="1">
      <alignment vertical="top" wrapText="1"/>
    </xf>
    <xf numFmtId="0" fontId="0" fillId="0" borderId="7" xfId="0" applyNumberFormat="1" applyFont="1" applyBorder="1" applyAlignment="1">
      <alignment vertical="top" wrapText="1"/>
    </xf>
    <xf numFmtId="0" fontId="0" fillId="0" borderId="5" xfId="0" applyNumberFormat="1" applyFont="1" applyBorder="1" applyAlignment="1">
      <alignment vertical="top" wrapText="1"/>
    </xf>
    <xf numFmtId="3" fontId="0" fillId="0" borderId="7" xfId="0" applyNumberFormat="1" applyFont="1" applyBorder="1" applyAlignment="1">
      <alignment vertical="top" wrapText="1"/>
    </xf>
    <xf numFmtId="3" fontId="0" fillId="0" borderId="5" xfId="0" applyNumberFormat="1" applyFont="1" applyBorder="1" applyAlignment="1">
      <alignment vertical="top" wrapText="1"/>
    </xf>
    <xf numFmtId="164" fontId="0" fillId="0" borderId="7" xfId="0" applyNumberFormat="1" applyFont="1" applyBorder="1" applyAlignment="1">
      <alignment vertical="top" wrapText="1"/>
    </xf>
    <xf numFmtId="164" fontId="0" fillId="0" borderId="5" xfId="0" applyNumberFormat="1" applyFont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165" fontId="0" fillId="0" borderId="7" xfId="0" applyNumberFormat="1" applyFont="1" applyBorder="1" applyAlignment="1">
      <alignment vertical="top" wrapText="1"/>
    </xf>
    <xf numFmtId="165" fontId="0" fillId="0" borderId="5" xfId="0" applyNumberFormat="1" applyFont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3" fontId="0" fillId="0" borderId="4" xfId="0" applyNumberFormat="1" applyFont="1" applyBorder="1" applyAlignment="1">
      <alignment vertical="top" wrapText="1"/>
    </xf>
    <xf numFmtId="3" fontId="0" fillId="0" borderId="2" xfId="0" applyNumberFormat="1" applyFont="1" applyBorder="1" applyAlignment="1">
      <alignment vertical="top" wrapText="1"/>
    </xf>
    <xf numFmtId="0" fontId="2" fillId="3" borderId="6" xfId="0" applyFont="1" applyFill="1" applyBorder="1" applyAlignment="1">
      <alignment horizontal="right" vertical="top" wrapText="1"/>
    </xf>
    <xf numFmtId="49" fontId="2" fillId="3" borderId="6" xfId="0" applyNumberFormat="1" applyFont="1" applyFill="1" applyBorder="1" applyAlignment="1">
      <alignment horizontal="right"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166" fontId="0" fillId="0" borderId="7" xfId="0" applyNumberFormat="1" applyFont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49" fontId="2" fillId="0" borderId="5" xfId="0" applyNumberFormat="1" applyFont="1" applyBorder="1" applyAlignment="1">
      <alignment vertical="top" wrapText="1"/>
    </xf>
    <xf numFmtId="1" fontId="0" fillId="0" borderId="5" xfId="0" applyNumberFormat="1" applyFont="1" applyBorder="1" applyAlignment="1">
      <alignment vertical="top" wrapText="1"/>
    </xf>
    <xf numFmtId="1" fontId="0" fillId="0" borderId="7" xfId="0" applyNumberFormat="1" applyFont="1" applyBorder="1" applyAlignment="1">
      <alignment vertical="top" wrapText="1"/>
    </xf>
    <xf numFmtId="49" fontId="2" fillId="3" borderId="5" xfId="0" applyNumberFormat="1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2" fillId="3" borderId="8" xfId="0" applyFont="1" applyFill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49" fontId="2" fillId="3" borderId="2" xfId="0" applyNumberFormat="1" applyFont="1" applyFill="1" applyBorder="1" applyAlignment="1">
      <alignment vertical="top" wrapText="1"/>
    </xf>
    <xf numFmtId="49" fontId="2" fillId="3" borderId="11" xfId="0" applyNumberFormat="1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</cellXfs>
  <cellStyles count="1">
    <cellStyle name="Standard" xfId="0" builtinId="0"/>
  </cellStyles>
  <dxfs count="16">
    <dxf>
      <font>
        <color rgb="FF000000"/>
      </font>
      <fill>
        <patternFill patternType="solid">
          <fgColor indexed="15"/>
          <bgColor indexed="18"/>
        </patternFill>
      </fill>
    </dxf>
    <dxf>
      <font>
        <color rgb="FF000000"/>
      </font>
      <fill>
        <patternFill patternType="solid">
          <fgColor indexed="15"/>
          <bgColor indexed="18"/>
        </patternFill>
      </fill>
    </dxf>
    <dxf>
      <font>
        <color rgb="FF000000"/>
      </font>
      <fill>
        <patternFill patternType="solid">
          <fgColor indexed="15"/>
          <bgColor indexed="18"/>
        </patternFill>
      </fill>
    </dxf>
    <dxf>
      <font>
        <color rgb="FF000000"/>
      </font>
      <fill>
        <patternFill patternType="solid">
          <fgColor indexed="15"/>
          <bgColor indexed="18"/>
        </patternFill>
      </fill>
    </dxf>
    <dxf>
      <font>
        <color rgb="FF000000"/>
      </font>
      <fill>
        <patternFill patternType="solid">
          <fgColor indexed="15"/>
          <bgColor indexed="18"/>
        </patternFill>
      </fill>
    </dxf>
    <dxf>
      <font>
        <color rgb="FF000000"/>
      </font>
      <fill>
        <patternFill patternType="solid">
          <fgColor indexed="15"/>
          <bgColor indexed="17"/>
        </patternFill>
      </fill>
    </dxf>
    <dxf>
      <font>
        <color rgb="FF000000"/>
      </font>
      <fill>
        <patternFill patternType="solid">
          <fgColor indexed="15"/>
          <bgColor indexed="16"/>
        </patternFill>
      </fill>
    </dxf>
    <dxf>
      <font>
        <color rgb="FF000000"/>
      </font>
      <fill>
        <patternFill patternType="solid">
          <fgColor indexed="15"/>
          <bgColor indexed="17"/>
        </patternFill>
      </fill>
    </dxf>
    <dxf>
      <font>
        <color rgb="FF000000"/>
      </font>
      <fill>
        <patternFill patternType="solid">
          <fgColor indexed="15"/>
          <bgColor indexed="18"/>
        </patternFill>
      </fill>
    </dxf>
    <dxf>
      <font>
        <color rgb="FF000000"/>
      </font>
      <fill>
        <patternFill patternType="solid">
          <fgColor indexed="15"/>
          <bgColor indexed="16"/>
        </patternFill>
      </fill>
    </dxf>
    <dxf>
      <font>
        <color rgb="FF000000"/>
      </font>
      <fill>
        <patternFill patternType="solid">
          <fgColor indexed="15"/>
          <bgColor indexed="18"/>
        </patternFill>
      </fill>
    </dxf>
    <dxf>
      <font>
        <color rgb="FF000000"/>
      </font>
      <fill>
        <patternFill patternType="solid">
          <fgColor indexed="15"/>
          <bgColor indexed="17"/>
        </patternFill>
      </fill>
    </dxf>
    <dxf>
      <font>
        <color rgb="FF000000"/>
      </font>
      <fill>
        <patternFill patternType="solid">
          <fgColor indexed="15"/>
          <bgColor indexed="16"/>
        </patternFill>
      </fill>
    </dxf>
    <dxf>
      <font>
        <color rgb="FF000000"/>
      </font>
      <fill>
        <patternFill patternType="solid">
          <fgColor indexed="15"/>
          <bgColor indexed="18"/>
        </patternFill>
      </fill>
    </dxf>
    <dxf>
      <font>
        <color rgb="FF000000"/>
      </font>
      <fill>
        <patternFill patternType="solid">
          <fgColor indexed="15"/>
          <bgColor indexed="17"/>
        </patternFill>
      </fill>
    </dxf>
    <dxf>
      <font>
        <color rgb="FF000000"/>
      </font>
      <fill>
        <patternFill patternType="solid">
          <fgColor indexed="15"/>
          <bgColor indexed="16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9EB8D"/>
      <rgbColor rgb="FFFEFFFE"/>
      <rgbColor rgb="00000000"/>
      <rgbColor rgb="E5FF9781"/>
      <rgbColor rgb="E5FFFC98"/>
      <rgbColor rgb="E5AFE489"/>
      <rgbColor rgb="FFB8B8B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00073"/>
          <c:y val="7.6636399999999993E-2"/>
          <c:w val="0.89492700000000003"/>
          <c:h val="0.87772399999999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'Dynamische Amortisation'!$C$2</c:f>
              <c:strCache>
                <c:ptCount val="1"/>
                <c:pt idx="0">
                  <c:v>9,75kWp</c:v>
                </c:pt>
              </c:strCache>
            </c:strRef>
          </c:tx>
          <c:spPr>
            <a:solidFill>
              <a:schemeClr val="accent1"/>
            </a:solidFill>
            <a:ln w="12700" cap="flat">
              <a:noFill/>
              <a:miter lim="400000"/>
            </a:ln>
            <a:effectLst/>
          </c:spPr>
          <c:invertIfNegative val="0"/>
          <c:cat>
            <c:numRef>
              <c:f>'Dynamische Amortisation'!$B$7:$B$26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'Dynamische Amortisation'!$C$7:$C$26</c:f>
              <c:numCache>
                <c:formatCode>#,##0</c:formatCode>
                <c:ptCount val="20"/>
                <c:pt idx="0">
                  <c:v>-16977.440175428572</c:v>
                </c:pt>
                <c:pt idx="1">
                  <c:v>-15470.219702939592</c:v>
                </c:pt>
                <c:pt idx="2">
                  <c:v>-14001.751200734298</c:v>
                </c:pt>
                <c:pt idx="3">
                  <c:v>-12570.519541226098</c:v>
                </c:pt>
                <c:pt idx="4">
                  <c:v>-11175.078443717784</c:v>
                </c:pt>
                <c:pt idx="5">
                  <c:v>-9814.0472289986501</c:v>
                </c:pt>
                <c:pt idx="6">
                  <c:v>-8486.1077281544203</c:v>
                </c:pt>
                <c:pt idx="7">
                  <c:v>-7190.0013382497873</c:v>
                </c:pt>
                <c:pt idx="8">
                  <c:v>-5924.5262178929188</c:v>
                </c:pt>
                <c:pt idx="9">
                  <c:v>-4688.5346160241133</c:v>
                </c:pt>
                <c:pt idx="10">
                  <c:v>-3480.9303275877992</c:v>
                </c:pt>
                <c:pt idx="11">
                  <c:v>-2300.6662700489946</c:v>
                </c:pt>
                <c:pt idx="12">
                  <c:v>-1146.7421750028604</c:v>
                </c:pt>
                <c:pt idx="13">
                  <c:v>-18.20238939983733</c:v>
                </c:pt>
                <c:pt idx="14">
                  <c:v>1085.8662188303463</c:v>
                </c:pt>
                <c:pt idx="15">
                  <c:v>2166.3362557241239</c:v>
                </c:pt>
                <c:pt idx="16">
                  <c:v>3224.0417015307694</c:v>
                </c:pt>
                <c:pt idx="17">
                  <c:v>4259.7797207667827</c:v>
                </c:pt>
                <c:pt idx="18">
                  <c:v>5274.3123863698966</c:v>
                </c:pt>
                <c:pt idx="19">
                  <c:v>6268.3683220402754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2-FE43-8287-D82D31AB11C8}"/>
            </c:ext>
          </c:extLst>
        </c:ser>
        <c:ser>
          <c:idx val="1"/>
          <c:order val="1"/>
          <c:tx>
            <c:strRef>
              <c:f>'Dynamische Amortisation'!$D$2</c:f>
              <c:strCache>
                <c:ptCount val="1"/>
                <c:pt idx="0">
                  <c:v>12,76kWp</c:v>
                </c:pt>
              </c:strCache>
            </c:strRef>
          </c:tx>
          <c:spPr>
            <a:solidFill>
              <a:schemeClr val="accent3"/>
            </a:solidFill>
            <a:ln w="12700" cap="flat">
              <a:noFill/>
              <a:miter lim="400000"/>
            </a:ln>
            <a:effectLst/>
          </c:spPr>
          <c:invertIfNegative val="0"/>
          <c:cat>
            <c:numRef>
              <c:f>'Dynamische Amortisation'!$B$7:$B$26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'Dynamische Amortisation'!$D$7:$D$26</c:f>
              <c:numCache>
                <c:formatCode>#,##0</c:formatCode>
                <c:ptCount val="20"/>
                <c:pt idx="0">
                  <c:v>-24327.163032765715</c:v>
                </c:pt>
                <c:pt idx="1">
                  <c:v>-22249.418334530739</c:v>
                </c:pt>
                <c:pt idx="2">
                  <c:v>-20224.607177875223</c:v>
                </c:pt>
                <c:pt idx="3">
                  <c:v>-18250.668984783511</c:v>
                </c:pt>
                <c:pt idx="4">
                  <c:v>-16325.63669933438</c:v>
                </c:pt>
                <c:pt idx="5">
                  <c:v>-14447.632380274659</c:v>
                </c:pt>
                <c:pt idx="6">
                  <c:v>-12614.863003010221</c:v>
                </c:pt>
                <c:pt idx="7">
                  <c:v>-10825.616461046699</c:v>
                </c:pt>
                <c:pt idx="8">
                  <c:v>-9078.2577573868784</c:v>
                </c:pt>
                <c:pt idx="9">
                  <c:v>-7371.2253768437204</c:v>
                </c:pt>
                <c:pt idx="10">
                  <c:v>-5703.0278306584369</c:v>
                </c:pt>
                <c:pt idx="11">
                  <c:v>-4072.2403652230464</c:v>
                </c:pt>
                <c:pt idx="12">
                  <c:v>-2477.5018270972864</c:v>
                </c:pt>
                <c:pt idx="13">
                  <c:v>-917.51167688161877</c:v>
                </c:pt>
                <c:pt idx="14">
                  <c:v>608.97285513776387</c:v>
                </c:pt>
                <c:pt idx="15">
                  <c:v>2103.1394783187352</c:v>
                </c:pt>
                <c:pt idx="16">
                  <c:v>3566.1234223934039</c:v>
                </c:pt>
                <c:pt idx="17">
                  <c:v>4999.0098957182854</c:v>
                </c:pt>
                <c:pt idx="18">
                  <c:v>6402.8364268727364</c:v>
                </c:pt>
                <c:pt idx="19">
                  <c:v>7778.5950951564218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D2-FE43-8287-D82D31AB1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 Neue"/>
              </a:defRPr>
            </a:pPr>
            <a:endParaRPr lang="de-DE"/>
          </a:p>
        </c:txPr>
        <c:crossAx val="2094734553"/>
        <c:crosses val="autoZero"/>
        <c:auto val="1"/>
        <c:lblAlgn val="ctr"/>
        <c:lblOffset val="100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#,##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 Neue"/>
              </a:defRPr>
            </a:pPr>
            <a:endParaRPr lang="de-DE"/>
          </a:p>
        </c:txPr>
        <c:crossAx val="2094734552"/>
        <c:crosses val="autoZero"/>
        <c:crossBetween val="between"/>
        <c:majorUnit val="11250"/>
        <c:minorUnit val="562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7.2237499999999996E-2"/>
          <c:y val="0"/>
          <c:w val="0.9"/>
          <c:h val="4.9207099999999997E-2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Helvetica Neue"/>
            </a:defRPr>
          </a:pPr>
          <a:endParaRPr lang="de-DE"/>
        </a:p>
      </c:txPr>
    </c:legend>
    <c:plotVisOnly val="1"/>
    <c:dispBlanksAs val="gap"/>
    <c:showDLblsOverMax val="1"/>
  </c:chart>
  <c:spPr>
    <a:noFill/>
    <a:ln>
      <a:noFill/>
    </a:ln>
    <a:effectLst/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91439</xdr:colOff>
      <xdr:row>14</xdr:row>
      <xdr:rowOff>155955</xdr:rowOff>
    </xdr:from>
    <xdr:to>
      <xdr:col>3</xdr:col>
      <xdr:colOff>1077129</xdr:colOff>
      <xdr:row>38</xdr:row>
      <xdr:rowOff>239219</xdr:rowOff>
    </xdr:to>
    <xdr:graphicFrame macro="">
      <xdr:nvGraphicFramePr>
        <xdr:cNvPr id="2" name="2D-Säulendiagram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120295</xdr:colOff>
      <xdr:row>112</xdr:row>
      <xdr:rowOff>49858</xdr:rowOff>
    </xdr:from>
    <xdr:to>
      <xdr:col>5</xdr:col>
      <xdr:colOff>235492</xdr:colOff>
      <xdr:row>114</xdr:row>
      <xdr:rowOff>7486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 txBox="1"/>
          </xdr:nvSpPr>
          <xdr:spPr>
            <a:xfrm>
              <a:off x="2850795" y="28668673"/>
              <a:ext cx="3874398" cy="463089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extLst>
              <a:ext uri="{C572A759-6A51-4108-AA02-DFA0A04FC94B}">
                <ma14:wrappingTextBoxFlag xmlns="" xmlns:r="http://schemas.openxmlformats.org/officeDocument/2006/relationships" xmlns:m="http://schemas.openxmlformats.org/officeDocument/2006/math" xmlns:ma14="http://schemas.microsoft.com/office/mac/drawingml/2011/main" val="1"/>
              </a:ext>
            </a:extLst>
          </xdr:spPr>
          <xdr:txBody>
            <a:bodyPr wrap="none" lIns="50800" tIns="50800" rIns="50800" bIns="50800" numCol="1" anchor="t">
              <a:spAutoFit/>
            </a:bodyPr>
            <a:lstStyle/>
            <a:p>
              <a:pPr marL="0" marR="0" indent="0" algn="l" defTabSz="457200" latinLnBrk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 sz="1600" b="0" i="0" u="none" strike="noStrike" cap="none" spc="0" baseline="0">
                  <a:solidFill>
                    <a:srgbClr val="000000"/>
                  </a:solidFill>
                  <a:uFillTx/>
                  <a:latin typeface="+mn-lt"/>
                  <a:ea typeface="+mn-ea"/>
                  <a:cs typeface="+mn-cs"/>
                  <a:sym typeface="Helvetica Neue"/>
                </a:defRPr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sz="19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sz="19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𝐵</m:t>
                        </m:r>
                      </m:e>
                      <m:sub>
                        <m:r>
                          <a:rPr sz="19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𝑁</m:t>
                        </m:r>
                      </m:sub>
                    </m:sSub>
                    <m:r>
                      <a:rPr sz="19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sz="19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sz="19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𝐵</m:t>
                        </m:r>
                      </m:e>
                      <m:sub>
                        <m:r>
                          <a:rPr sz="19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𝑁</m:t>
                        </m:r>
                      </m:sub>
                    </m:sSub>
                    <m:r>
                      <a:rPr sz="19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⋅</m:t>
                    </m:r>
                    <m:r>
                      <a:rPr sz="19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𝑟</m:t>
                    </m:r>
                    <m:r>
                      <a:rPr sz="19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sz="19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sz="19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𝐵</m:t>
                        </m:r>
                      </m:e>
                      <m:sub>
                        <m:r>
                          <a:rPr sz="19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𝑛</m:t>
                        </m:r>
                      </m:sub>
                    </m:sSub>
                    <m:r>
                      <a:rPr sz="19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⋅</m:t>
                    </m:r>
                    <m:r>
                      <a:rPr sz="19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𝑞</m:t>
                    </m:r>
                    <m:r>
                      <a:rPr sz="19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sz="19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sz="19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𝐵</m:t>
                        </m:r>
                      </m:e>
                      <m:sub>
                        <m:r>
                          <a:rPr sz="19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𝑁</m:t>
                        </m:r>
                      </m:sub>
                    </m:sSub>
                    <m:r>
                      <a:rPr sz="19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⋅(1+</m:t>
                    </m:r>
                    <m:r>
                      <a:rPr sz="19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𝑟</m:t>
                    </m:r>
                    <m:r>
                      <a:rPr sz="19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−</m:t>
                    </m:r>
                    <m:r>
                      <a:rPr sz="19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𝑞</m:t>
                    </m:r>
                    <m:r>
                      <a:rPr sz="19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sz="1600">
                <a:solidFill>
                  <a:srgbClr val="000000"/>
                </a:solidFill>
              </a:endParaRPr>
            </a:p>
          </xdr:txBody>
        </xdr:sp>
      </mc:Choice>
      <mc:Fallback xmlns="">
        <xdr:sp macro="" textlink="">
          <xdr:nvSpPr>
            <xdr:cNvPr id="4" name="Text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 txBox="1"/>
          </xdr:nvSpPr>
          <xdr:spPr>
            <a:xfrm>
              <a:off x="2850795" y="28668673"/>
              <a:ext cx="3874398" cy="463089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extLst>
              <a:ext uri="{C572A759-6A51-4108-AA02-DFA0A04FC94B}">
    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    </a:ext>
            </a:extLst>
          </xdr:spPr>
          <xdr:txBody>
            <a:bodyPr wrap="none" lIns="50800" tIns="50800" rIns="50800" bIns="50800" numCol="1" anchor="t">
              <a:spAutoFit/>
            </a:bodyPr>
            <a:lstStyle/>
            <a:p>
              <a:pPr marL="0" marR="0" indent="0" algn="l" defTabSz="457200" latinLnBrk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 sz="1600" b="0" i="0" u="none" strike="noStrike" cap="none" spc="0" baseline="0">
                  <a:solidFill>
                    <a:srgbClr val="000000"/>
                  </a:solidFill>
                  <a:uFillTx/>
                  <a:latin typeface="+mn-lt"/>
                  <a:ea typeface="+mn-ea"/>
                  <a:cs typeface="+mn-cs"/>
                  <a:sym typeface="Helvetica Neue"/>
                </a:defRPr>
              </a:pPr>
              <a:r>
                <a:rPr sz="19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𝐵_𝑁+𝐵_𝑁⋅𝑟−𝐵_𝑛⋅𝑞=𝐵_𝑁⋅(1+𝑟−𝑞)</a:t>
              </a:r>
              <a:endParaRPr sz="1600">
                <a:solidFill>
                  <a:srgbClr val="000000"/>
                </a:solidFill>
              </a:endParaRP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showGridLines="0" workbookViewId="0">
      <pane xSplit="2" ySplit="2" topLeftCell="C3" activePane="bottomRight" state="frozen"/>
      <selection pane="topRight"/>
      <selection pane="bottomLeft"/>
      <selection pane="bottomRight" activeCell="C3" sqref="C3"/>
    </sheetView>
  </sheetViews>
  <sheetFormatPr baseColWidth="10" defaultColWidth="16.33203125" defaultRowHeight="20" customHeight="1" x14ac:dyDescent="0.15"/>
  <cols>
    <col min="1" max="1" width="12.1640625" style="1" customWidth="1"/>
    <col min="2" max="2" width="44.6640625" style="1" customWidth="1"/>
    <col min="3" max="4" width="16.5" style="1" customWidth="1"/>
    <col min="5" max="5" width="16.33203125" style="1" customWidth="1"/>
    <col min="6" max="16384" width="16.33203125" style="1"/>
  </cols>
  <sheetData>
    <row r="1" spans="1:4" ht="27.75" customHeight="1" x14ac:dyDescent="0.15">
      <c r="A1" s="69" t="s">
        <v>0</v>
      </c>
      <c r="B1" s="69"/>
      <c r="C1" s="69"/>
      <c r="D1" s="69"/>
    </row>
    <row r="2" spans="1:4" ht="20.25" customHeight="1" x14ac:dyDescent="0.15">
      <c r="A2" s="2"/>
      <c r="B2" s="2"/>
      <c r="C2" s="3" t="s">
        <v>1</v>
      </c>
      <c r="D2" s="3" t="s">
        <v>2</v>
      </c>
    </row>
    <row r="3" spans="1:4" ht="20.25" customHeight="1" x14ac:dyDescent="0.15">
      <c r="A3" s="70" t="s">
        <v>3</v>
      </c>
      <c r="B3" s="4" t="s">
        <v>4</v>
      </c>
      <c r="C3" s="5">
        <v>9.75</v>
      </c>
      <c r="D3" s="6">
        <v>12.76</v>
      </c>
    </row>
    <row r="4" spans="1:4" ht="20" customHeight="1" x14ac:dyDescent="0.15">
      <c r="A4" s="67"/>
      <c r="B4" s="8" t="s">
        <v>5</v>
      </c>
      <c r="C4" s="9">
        <v>0</v>
      </c>
      <c r="D4" s="10">
        <v>0</v>
      </c>
    </row>
    <row r="5" spans="1:4" ht="20" customHeight="1" x14ac:dyDescent="0.15">
      <c r="A5" s="67"/>
      <c r="B5" s="8" t="s">
        <v>6</v>
      </c>
      <c r="C5" s="9">
        <v>1173</v>
      </c>
      <c r="D5" s="10">
        <v>1173</v>
      </c>
    </row>
    <row r="6" spans="1:4" ht="20.25" customHeight="1" x14ac:dyDescent="0.15">
      <c r="A6" s="68"/>
      <c r="B6" s="11" t="s">
        <v>7</v>
      </c>
      <c r="C6" s="12">
        <v>1</v>
      </c>
      <c r="D6" s="13">
        <v>1</v>
      </c>
    </row>
    <row r="7" spans="1:4" ht="20.25" customHeight="1" x14ac:dyDescent="0.15">
      <c r="A7" s="71" t="s">
        <v>8</v>
      </c>
      <c r="B7" s="14" t="s">
        <v>9</v>
      </c>
      <c r="C7" s="15">
        <v>8000</v>
      </c>
      <c r="D7" s="16">
        <v>8000</v>
      </c>
    </row>
    <row r="8" spans="1:4" ht="20" customHeight="1" x14ac:dyDescent="0.15">
      <c r="A8" s="67"/>
      <c r="B8" s="8" t="s">
        <v>10</v>
      </c>
      <c r="C8" s="9">
        <v>32</v>
      </c>
      <c r="D8" s="10">
        <v>34</v>
      </c>
    </row>
    <row r="9" spans="1:4" ht="20" customHeight="1" x14ac:dyDescent="0.15">
      <c r="A9" s="67"/>
      <c r="B9" s="8" t="s">
        <v>11</v>
      </c>
      <c r="C9" s="9">
        <v>26</v>
      </c>
      <c r="D9" s="10">
        <v>21</v>
      </c>
    </row>
    <row r="10" spans="1:4" ht="20.25" customHeight="1" x14ac:dyDescent="0.15">
      <c r="A10" s="68"/>
      <c r="B10" s="11" t="s">
        <v>12</v>
      </c>
      <c r="C10" s="12">
        <v>74.400000000000006</v>
      </c>
      <c r="D10" s="13">
        <v>79</v>
      </c>
    </row>
    <row r="11" spans="1:4" ht="20.25" customHeight="1" x14ac:dyDescent="0.15">
      <c r="A11" s="71" t="s">
        <v>13</v>
      </c>
      <c r="B11" s="14" t="s">
        <v>14</v>
      </c>
      <c r="C11" s="15">
        <v>18525</v>
      </c>
      <c r="D11" s="16">
        <v>26460</v>
      </c>
    </row>
    <row r="12" spans="1:4" ht="20" customHeight="1" x14ac:dyDescent="0.15">
      <c r="A12" s="67"/>
      <c r="B12" s="8" t="s">
        <v>15</v>
      </c>
      <c r="C12" s="9">
        <v>0</v>
      </c>
      <c r="D12" s="10">
        <v>0</v>
      </c>
    </row>
    <row r="13" spans="1:4" ht="20.75" customHeight="1" x14ac:dyDescent="0.15">
      <c r="A13" s="67"/>
      <c r="B13" s="8" t="s">
        <v>16</v>
      </c>
      <c r="C13" s="17">
        <v>0</v>
      </c>
      <c r="D13" s="18">
        <v>0</v>
      </c>
    </row>
    <row r="14" spans="1:4" ht="20.75" customHeight="1" x14ac:dyDescent="0.15">
      <c r="A14" s="67"/>
      <c r="B14" s="8" t="s">
        <v>17</v>
      </c>
      <c r="C14" s="19">
        <f>SUM(C11:C13)</f>
        <v>18525</v>
      </c>
      <c r="D14" s="20">
        <f>SUM(D11:D13)</f>
        <v>26460</v>
      </c>
    </row>
    <row r="15" spans="1:4" ht="20" customHeight="1" x14ac:dyDescent="0.15">
      <c r="A15" s="67"/>
      <c r="B15" s="8" t="s">
        <v>18</v>
      </c>
      <c r="C15" s="9">
        <v>7.5</v>
      </c>
      <c r="D15" s="10">
        <v>7.5</v>
      </c>
    </row>
    <row r="16" spans="1:4" ht="20" customHeight="1" x14ac:dyDescent="0.15">
      <c r="A16" s="67"/>
      <c r="B16" s="8" t="s">
        <v>19</v>
      </c>
      <c r="C16" s="9">
        <v>0.5</v>
      </c>
      <c r="D16" s="10">
        <v>0.5</v>
      </c>
    </row>
    <row r="17" spans="1:4" ht="20" customHeight="1" x14ac:dyDescent="0.15">
      <c r="A17" s="67"/>
      <c r="B17" s="8" t="s">
        <v>20</v>
      </c>
      <c r="C17" s="9">
        <v>0.28999999999999998</v>
      </c>
      <c r="D17" s="10">
        <v>0.28999999999999998</v>
      </c>
    </row>
    <row r="18" spans="1:4" ht="20" customHeight="1" x14ac:dyDescent="0.15">
      <c r="A18" s="67"/>
      <c r="B18" s="8" t="s">
        <v>21</v>
      </c>
      <c r="C18" s="9">
        <v>140</v>
      </c>
      <c r="D18" s="10">
        <v>140</v>
      </c>
    </row>
    <row r="19" spans="1:4" ht="20" customHeight="1" x14ac:dyDescent="0.15">
      <c r="A19" s="67"/>
      <c r="B19" s="8" t="s">
        <v>22</v>
      </c>
      <c r="C19" s="9">
        <v>8.2000000000000003E-2</v>
      </c>
      <c r="D19" s="10">
        <v>7.9699999999999993E-2</v>
      </c>
    </row>
    <row r="20" spans="1:4" ht="20" customHeight="1" x14ac:dyDescent="0.15">
      <c r="A20" s="67"/>
      <c r="B20" s="8" t="s">
        <v>23</v>
      </c>
      <c r="C20" s="9">
        <v>4</v>
      </c>
      <c r="D20" s="10">
        <f>$C$20</f>
        <v>4</v>
      </c>
    </row>
    <row r="21" spans="1:4" ht="20" customHeight="1" x14ac:dyDescent="0.15">
      <c r="A21" s="67"/>
      <c r="B21" s="8" t="s">
        <v>24</v>
      </c>
      <c r="C21" s="9">
        <v>5</v>
      </c>
      <c r="D21" s="10">
        <f>$C$21</f>
        <v>5</v>
      </c>
    </row>
    <row r="22" spans="1:4" ht="20" customHeight="1" x14ac:dyDescent="0.15">
      <c r="A22" s="67"/>
      <c r="B22" s="8" t="s">
        <v>25</v>
      </c>
      <c r="C22" s="9">
        <v>3.5</v>
      </c>
      <c r="D22" s="10">
        <v>3.5</v>
      </c>
    </row>
    <row r="23" spans="1:4" ht="20.25" customHeight="1" x14ac:dyDescent="0.15">
      <c r="A23" s="68"/>
      <c r="B23" s="11" t="s">
        <v>26</v>
      </c>
      <c r="C23" s="21">
        <v>20</v>
      </c>
      <c r="D23" s="22">
        <v>20</v>
      </c>
    </row>
    <row r="24" spans="1:4" ht="20.25" customHeight="1" x14ac:dyDescent="0.15">
      <c r="A24" s="23"/>
      <c r="B24" s="24"/>
      <c r="C24" s="25"/>
      <c r="D24" s="26"/>
    </row>
    <row r="25" spans="1:4" ht="20" customHeight="1" x14ac:dyDescent="0.15">
      <c r="A25" s="66" t="s">
        <v>27</v>
      </c>
      <c r="B25" s="8" t="s">
        <v>28</v>
      </c>
      <c r="C25" s="27">
        <f>C3*C5*C6</f>
        <v>11436.75</v>
      </c>
      <c r="D25" s="28">
        <f>D3*D5*D6</f>
        <v>14967.48</v>
      </c>
    </row>
    <row r="26" spans="1:4" ht="20" customHeight="1" x14ac:dyDescent="0.15">
      <c r="A26" s="67"/>
      <c r="B26" s="8" t="s">
        <v>29</v>
      </c>
      <c r="C26" s="27">
        <f>C25*C8/100</f>
        <v>3659.76</v>
      </c>
      <c r="D26" s="28">
        <f>D25*D8/100</f>
        <v>5088.9431999999997</v>
      </c>
    </row>
    <row r="27" spans="1:4" ht="20" customHeight="1" x14ac:dyDescent="0.15">
      <c r="A27" s="67"/>
      <c r="B27" s="8" t="s">
        <v>30</v>
      </c>
      <c r="C27" s="27">
        <f>C25*(100-C9)/100</f>
        <v>8463.1949999999997</v>
      </c>
      <c r="D27" s="28">
        <f>D25*(100-D9)/100</f>
        <v>11824.3092</v>
      </c>
    </row>
    <row r="28" spans="1:4" ht="20.25" customHeight="1" x14ac:dyDescent="0.15">
      <c r="A28" s="68"/>
      <c r="B28" s="11" t="s">
        <v>31</v>
      </c>
      <c r="C28" s="29">
        <f>C7-C26</f>
        <v>4340.24</v>
      </c>
      <c r="D28" s="30">
        <f>D7-D26</f>
        <v>2911.0568000000003</v>
      </c>
    </row>
    <row r="29" spans="1:4" ht="20.25" customHeight="1" x14ac:dyDescent="0.15">
      <c r="A29" s="23"/>
      <c r="B29" s="24"/>
      <c r="C29" s="25"/>
      <c r="D29" s="26"/>
    </row>
    <row r="30" spans="1:4" ht="20" customHeight="1" x14ac:dyDescent="0.15">
      <c r="A30" s="66" t="s">
        <v>32</v>
      </c>
      <c r="B30" s="8" t="s">
        <v>33</v>
      </c>
      <c r="C30" s="27">
        <f>(C11+C12)*C16/100</f>
        <v>92.625</v>
      </c>
      <c r="D30" s="28">
        <f>(D11+D12)*D16/100</f>
        <v>132.30000000000001</v>
      </c>
    </row>
    <row r="31" spans="1:4" ht="20" customHeight="1" x14ac:dyDescent="0.15">
      <c r="A31" s="67"/>
      <c r="B31" s="8" t="s">
        <v>34</v>
      </c>
      <c r="C31" s="27">
        <f>C15*C3</f>
        <v>73.125</v>
      </c>
      <c r="D31" s="28">
        <f>D15*D3</f>
        <v>95.7</v>
      </c>
    </row>
    <row r="32" spans="1:4" ht="20" customHeight="1" x14ac:dyDescent="0.15">
      <c r="A32" s="67"/>
      <c r="B32" s="8" t="s">
        <v>35</v>
      </c>
      <c r="C32" s="27">
        <f>C27*C19</f>
        <v>693.98199</v>
      </c>
      <c r="D32" s="28">
        <f>D27*D19</f>
        <v>942.39744323999992</v>
      </c>
    </row>
    <row r="33" spans="1:4" ht="20.25" customHeight="1" x14ac:dyDescent="0.15">
      <c r="A33" s="68"/>
      <c r="B33" s="11" t="s">
        <v>36</v>
      </c>
      <c r="C33" s="29">
        <f>C26*C17</f>
        <v>1061.3304000000001</v>
      </c>
      <c r="D33" s="30">
        <f>D26*D17</f>
        <v>1475.7935279999999</v>
      </c>
    </row>
    <row r="34" spans="1:4" ht="20.25" customHeight="1" x14ac:dyDescent="0.15">
      <c r="A34" s="23"/>
      <c r="B34" s="24"/>
      <c r="C34" s="25"/>
      <c r="D34" s="26"/>
    </row>
    <row r="35" spans="1:4" ht="20" customHeight="1" x14ac:dyDescent="0.15">
      <c r="A35" s="66" t="s">
        <v>37</v>
      </c>
      <c r="B35" s="8" t="s">
        <v>38</v>
      </c>
      <c r="C35" s="27">
        <f>C32+C33</f>
        <v>1755.3123900000001</v>
      </c>
      <c r="D35" s="28">
        <f>D32+D33</f>
        <v>2418.1909712399997</v>
      </c>
    </row>
    <row r="36" spans="1:4" ht="20.75" customHeight="1" x14ac:dyDescent="0.15">
      <c r="A36" s="67"/>
      <c r="B36" s="8" t="s">
        <v>39</v>
      </c>
      <c r="C36" s="31">
        <f>C30+C31</f>
        <v>165.75</v>
      </c>
      <c r="D36" s="32">
        <f>D30+D31</f>
        <v>228</v>
      </c>
    </row>
    <row r="37" spans="1:4" ht="20.75" customHeight="1" x14ac:dyDescent="0.15">
      <c r="A37" s="67"/>
      <c r="B37" s="8" t="s">
        <v>40</v>
      </c>
      <c r="C37" s="19">
        <f>C35-C36</f>
        <v>1589.5623900000001</v>
      </c>
      <c r="D37" s="20">
        <f>D35-D36</f>
        <v>2190.1909712399997</v>
      </c>
    </row>
    <row r="38" spans="1:4" ht="20" customHeight="1" x14ac:dyDescent="0.15">
      <c r="A38" s="7"/>
      <c r="B38" s="8" t="s">
        <v>41</v>
      </c>
      <c r="C38" s="33">
        <f>C14/C37</f>
        <v>11.654150926406858</v>
      </c>
      <c r="D38" s="34">
        <f>D14/D37</f>
        <v>12.081138287689768</v>
      </c>
    </row>
  </sheetData>
  <mergeCells count="7">
    <mergeCell ref="A35:A37"/>
    <mergeCell ref="A30:A33"/>
    <mergeCell ref="A1:D1"/>
    <mergeCell ref="A3:A6"/>
    <mergeCell ref="A7:A10"/>
    <mergeCell ref="A25:A28"/>
    <mergeCell ref="A11:A23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3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baseColWidth="10" defaultColWidth="16.33203125" defaultRowHeight="20" customHeight="1" x14ac:dyDescent="0.15"/>
  <cols>
    <col min="1" max="1" width="31.1640625" style="35" customWidth="1"/>
    <col min="2" max="3" width="16.5" style="35" customWidth="1"/>
    <col min="4" max="4" width="16.33203125" style="35" customWidth="1"/>
    <col min="5" max="16384" width="16.33203125" style="35"/>
  </cols>
  <sheetData>
    <row r="1" spans="1:3" ht="27.75" customHeight="1" x14ac:dyDescent="0.15">
      <c r="A1" s="69" t="s">
        <v>42</v>
      </c>
      <c r="B1" s="69"/>
      <c r="C1" s="69"/>
    </row>
    <row r="2" spans="1:3" ht="20.25" customHeight="1" x14ac:dyDescent="0.15">
      <c r="A2" s="3" t="s">
        <v>43</v>
      </c>
      <c r="B2" s="3" t="str">
        <f>'Anlagen Spezifikation'!C$2</f>
        <v>9,75kWp</v>
      </c>
      <c r="C2" s="3" t="str">
        <f>'Anlagen Spezifikation'!D$2</f>
        <v>12,76kWp</v>
      </c>
    </row>
    <row r="3" spans="1:3" ht="20.25" customHeight="1" x14ac:dyDescent="0.15">
      <c r="A3" s="4" t="str">
        <f>'Anlagen Spezifikation'!$B3</f>
        <v>Anlagenleistung (kWp)</v>
      </c>
      <c r="B3" s="36">
        <f>'Anlagen Spezifikation'!C3</f>
        <v>9.75</v>
      </c>
      <c r="C3" s="37">
        <f>'Anlagen Spezifikation'!D3</f>
        <v>12.76</v>
      </c>
    </row>
    <row r="4" spans="1:3" ht="20" customHeight="1" x14ac:dyDescent="0.15">
      <c r="A4" s="8" t="str">
        <f>'Anlagen Spezifikation'!$B4</f>
        <v>Speichergröße (in kWh)</v>
      </c>
      <c r="B4" s="38">
        <f>'Anlagen Spezifikation'!C4</f>
        <v>0</v>
      </c>
      <c r="C4" s="39">
        <f>'Anlagen Spezifikation'!D4</f>
        <v>0</v>
      </c>
    </row>
    <row r="5" spans="1:3" ht="20" customHeight="1" x14ac:dyDescent="0.15">
      <c r="A5" s="8" t="str">
        <f>'Anlagen Spezifikation'!$B14</f>
        <v>Invest (in €)</v>
      </c>
      <c r="B5" s="40">
        <f>'Anlagen Spezifikation'!C14</f>
        <v>18525</v>
      </c>
      <c r="C5" s="41">
        <f>'Anlagen Spezifikation'!D14</f>
        <v>26460</v>
      </c>
    </row>
    <row r="6" spans="1:3" ht="20" customHeight="1" x14ac:dyDescent="0.15">
      <c r="A6" s="8" t="str">
        <f>'Anlagen Spezifikation'!$B37</f>
        <v>Überschuss im 1. Jahr (in €/a)</v>
      </c>
      <c r="B6" s="40">
        <f>'Anlagen Spezifikation'!C37</f>
        <v>1589.5623900000001</v>
      </c>
      <c r="C6" s="41">
        <f>'Anlagen Spezifikation'!D37</f>
        <v>2190.1909712399997</v>
      </c>
    </row>
    <row r="7" spans="1:3" ht="20" customHeight="1" x14ac:dyDescent="0.15">
      <c r="A7" s="8" t="str">
        <f>'Anlagen Spezifikation'!$B22</f>
        <v>Kapitalverzinsung (extern)</v>
      </c>
      <c r="B7" s="42">
        <f>'Anlagen Spezifikation'!C22/100</f>
        <v>3.5000000000000003E-2</v>
      </c>
      <c r="C7" s="43">
        <f>'Anlagen Spezifikation'!D22/100</f>
        <v>3.5000000000000003E-2</v>
      </c>
    </row>
    <row r="8" spans="1:3" ht="20" customHeight="1" x14ac:dyDescent="0.15">
      <c r="A8" s="44"/>
      <c r="B8" s="45"/>
      <c r="C8" s="46"/>
    </row>
    <row r="9" spans="1:3" ht="20" customHeight="1" x14ac:dyDescent="0.15">
      <c r="A9" s="8" t="str">
        <f>'Dynamische Amortisation'!$A4</f>
        <v>Barwert (NPV) 20 Jahren (in €)</v>
      </c>
      <c r="B9" s="40">
        <f>Kapitalwertmethode!C4</f>
        <v>24793.368322040275</v>
      </c>
      <c r="C9" s="41">
        <f>Kapitalwertmethode!D4</f>
        <v>34238.595095156423</v>
      </c>
    </row>
    <row r="10" spans="1:3" ht="20" customHeight="1" x14ac:dyDescent="0.15">
      <c r="A10" s="8" t="s">
        <v>44</v>
      </c>
      <c r="B10" s="40">
        <f>Kapitalwertmethode!C5</f>
        <v>6268.3683220402754</v>
      </c>
      <c r="C10" s="41">
        <f>Kapitalwertmethode!D5</f>
        <v>7778.5950951564218</v>
      </c>
    </row>
    <row r="11" spans="1:3" ht="20" customHeight="1" x14ac:dyDescent="0.15">
      <c r="A11" s="8" t="str">
        <f>'Dynamische Amortisation'!$A5</f>
        <v>Amortisation (in Jahren)</v>
      </c>
      <c r="B11" s="40">
        <f>'Dynamische Amortisation'!C5</f>
        <v>15</v>
      </c>
      <c r="C11" s="41">
        <f>'Dynamische Amortisation'!D5</f>
        <v>15</v>
      </c>
    </row>
    <row r="12" spans="1:3" ht="20" customHeight="1" x14ac:dyDescent="0.15">
      <c r="A12" s="44" t="e">
        <f>#REF!</f>
        <v>#REF!</v>
      </c>
      <c r="B12" s="40">
        <f>Annuitätsmethode!B12</f>
        <v>347.36360441581894</v>
      </c>
      <c r="C12" s="41">
        <f>Annuitätsmethode!C12</f>
        <v>431.05329660419142</v>
      </c>
    </row>
    <row r="13" spans="1:3" ht="20" customHeight="1" x14ac:dyDescent="0.15">
      <c r="A13" s="8" t="s">
        <v>46</v>
      </c>
      <c r="B13" s="47">
        <f>Zinsfussmethode!C5</f>
        <v>3.6439370882828781E-2</v>
      </c>
      <c r="C13" s="48">
        <f>Zinsfussmethode!D5</f>
        <v>3.184337460728992E-2</v>
      </c>
    </row>
  </sheetData>
  <mergeCells count="1">
    <mergeCell ref="A1:C1"/>
  </mergeCells>
  <conditionalFormatting sqref="B10:C10">
    <cfRule type="cellIs" dxfId="15" priority="1" stopIfTrue="1" operator="lessThan">
      <formula>0</formula>
    </cfRule>
    <cfRule type="cellIs" dxfId="14" priority="2" stopIfTrue="1" operator="equal">
      <formula>0</formula>
    </cfRule>
    <cfRule type="cellIs" dxfId="13" priority="3" stopIfTrue="1" operator="greaterThan">
      <formula>0</formula>
    </cfRule>
  </conditionalFormatting>
  <conditionalFormatting sqref="B11:C11">
    <cfRule type="cellIs" dxfId="12" priority="4" stopIfTrue="1" operator="greaterThan">
      <formula>16</formula>
    </cfRule>
    <cfRule type="cellIs" dxfId="11" priority="4" stopIfTrue="1" operator="greaterThan">
      <formula>12</formula>
    </cfRule>
    <cfRule type="cellIs" dxfId="10" priority="4" stopIfTrue="1" operator="lessThanOrEqual">
      <formula>12</formula>
    </cfRule>
  </conditionalFormatting>
  <conditionalFormatting sqref="B12:C12">
    <cfRule type="cellIs" dxfId="9" priority="5" stopIfTrue="1" operator="lessThan">
      <formula>0</formula>
    </cfRule>
    <cfRule type="cellIs" dxfId="8" priority="5" stopIfTrue="1" operator="greaterThan">
      <formula>0</formula>
    </cfRule>
    <cfRule type="cellIs" dxfId="7" priority="5" stopIfTrue="1" operator="equal">
      <formula>0</formula>
    </cfRule>
  </conditionalFormatting>
  <conditionalFormatting sqref="B13:C13">
    <cfRule type="cellIs" dxfId="6" priority="6" stopIfTrue="1" operator="lessThan">
      <formula>B$7</formula>
    </cfRule>
    <cfRule type="cellIs" dxfId="5" priority="6" stopIfTrue="1" operator="equal">
      <formula>B$7</formula>
    </cfRule>
    <cfRule type="cellIs" dxfId="4" priority="6" stopIfTrue="1" operator="greaterThan">
      <formula>B$7</formula>
    </cfRule>
  </conditionalFormatting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11"/>
  <sheetViews>
    <sheetView showGridLines="0" workbookViewId="0">
      <pane xSplit="2" ySplit="2" topLeftCell="C77" activePane="bottomRight" state="frozen"/>
      <selection pane="topRight"/>
      <selection pane="bottomLeft"/>
      <selection pane="bottomRight" activeCell="G89" sqref="G89"/>
    </sheetView>
  </sheetViews>
  <sheetFormatPr baseColWidth="10" defaultColWidth="16.33203125" defaultRowHeight="20" customHeight="1" x14ac:dyDescent="0.15"/>
  <cols>
    <col min="1" max="1" width="18.83203125" style="49" customWidth="1"/>
    <col min="2" max="2" width="17" style="49" customWidth="1"/>
    <col min="3" max="4" width="16.5" style="49" customWidth="1"/>
    <col min="5" max="5" width="16.33203125" style="49" customWidth="1"/>
    <col min="6" max="16384" width="16.33203125" style="49"/>
  </cols>
  <sheetData>
    <row r="1" spans="1:4" ht="27.75" customHeight="1" x14ac:dyDescent="0.15">
      <c r="A1" s="69" t="s">
        <v>47</v>
      </c>
      <c r="B1" s="69"/>
      <c r="C1" s="69"/>
      <c r="D1" s="69"/>
    </row>
    <row r="2" spans="1:4" ht="20.25" customHeight="1" x14ac:dyDescent="0.15">
      <c r="A2" s="2"/>
      <c r="B2" s="3" t="s">
        <v>48</v>
      </c>
      <c r="C2" s="3" t="str">
        <f>'Anlagen Spezifikation'!C$2</f>
        <v>9,75kWp</v>
      </c>
      <c r="D2" s="3" t="str">
        <f>'Anlagen Spezifikation'!D$2</f>
        <v>12,76kWp</v>
      </c>
    </row>
    <row r="3" spans="1:4" ht="20.25" customHeight="1" x14ac:dyDescent="0.15">
      <c r="A3" s="50"/>
      <c r="B3" s="4" t="s">
        <v>49</v>
      </c>
      <c r="C3" s="36">
        <f>'Anlagen Spezifikation'!C20</f>
        <v>4</v>
      </c>
      <c r="D3" s="37">
        <f>'Anlagen Spezifikation'!D20</f>
        <v>4</v>
      </c>
    </row>
    <row r="4" spans="1:4" ht="20" customHeight="1" x14ac:dyDescent="0.15">
      <c r="A4" s="7"/>
      <c r="B4" s="8" t="s">
        <v>50</v>
      </c>
      <c r="C4" s="38">
        <f>'Anlagen Spezifikation'!C21</f>
        <v>5</v>
      </c>
      <c r="D4" s="39">
        <f>'Anlagen Spezifikation'!D21</f>
        <v>5</v>
      </c>
    </row>
    <row r="5" spans="1:4" ht="20" customHeight="1" x14ac:dyDescent="0.15">
      <c r="A5" s="7"/>
      <c r="B5" s="8" t="s">
        <v>51</v>
      </c>
      <c r="C5" s="38">
        <f>1+C3/100</f>
        <v>1.04</v>
      </c>
      <c r="D5" s="39">
        <f>1+D3/100</f>
        <v>1.04</v>
      </c>
    </row>
    <row r="6" spans="1:4" ht="20" customHeight="1" x14ac:dyDescent="0.15">
      <c r="A6" s="7"/>
      <c r="B6" s="8" t="s">
        <v>52</v>
      </c>
      <c r="C6" s="38">
        <f>1+C4/100</f>
        <v>1.05</v>
      </c>
      <c r="D6" s="39">
        <f>1+D4/100</f>
        <v>1.05</v>
      </c>
    </row>
    <row r="7" spans="1:4" ht="20" customHeight="1" x14ac:dyDescent="0.15">
      <c r="A7" s="7"/>
      <c r="B7" s="44"/>
      <c r="C7" s="38"/>
      <c r="D7" s="46"/>
    </row>
    <row r="8" spans="1:4" ht="20" customHeight="1" x14ac:dyDescent="0.15">
      <c r="A8" s="66" t="s">
        <v>53</v>
      </c>
      <c r="B8" s="51">
        <v>1</v>
      </c>
      <c r="C8" s="65">
        <f t="shared" ref="C8:D27" si="0">-C29-C50+C71+C92</f>
        <v>1547.5598245714286</v>
      </c>
      <c r="D8" s="64">
        <f t="shared" si="0"/>
        <v>2132.8369672342856</v>
      </c>
    </row>
    <row r="9" spans="1:4" ht="20" customHeight="1" x14ac:dyDescent="0.15">
      <c r="A9" s="67"/>
      <c r="B9" s="51">
        <f t="shared" ref="B9:B27" si="1">$B8+1</f>
        <v>2</v>
      </c>
      <c r="C9" s="65">
        <f t="shared" si="0"/>
        <v>1507.2204724889796</v>
      </c>
      <c r="D9" s="64">
        <f t="shared" si="0"/>
        <v>2077.7446982349766</v>
      </c>
    </row>
    <row r="10" spans="1:4" ht="20" customHeight="1" x14ac:dyDescent="0.15">
      <c r="A10" s="67"/>
      <c r="B10" s="51">
        <f t="shared" si="1"/>
        <v>3</v>
      </c>
      <c r="C10" s="65">
        <f t="shared" si="0"/>
        <v>1468.468502205295</v>
      </c>
      <c r="D10" s="64">
        <f t="shared" si="0"/>
        <v>2024.8111566555162</v>
      </c>
    </row>
    <row r="11" spans="1:4" ht="20" customHeight="1" x14ac:dyDescent="0.15">
      <c r="A11" s="67"/>
      <c r="B11" s="51">
        <f t="shared" si="1"/>
        <v>4</v>
      </c>
      <c r="C11" s="65">
        <f t="shared" si="0"/>
        <v>1431.2316595081991</v>
      </c>
      <c r="D11" s="64">
        <f t="shared" si="0"/>
        <v>1973.9381930917127</v>
      </c>
    </row>
    <row r="12" spans="1:4" ht="20" customHeight="1" x14ac:dyDescent="0.15">
      <c r="A12" s="67"/>
      <c r="B12" s="51">
        <f t="shared" si="1"/>
        <v>5</v>
      </c>
      <c r="C12" s="65">
        <f t="shared" si="0"/>
        <v>1395.4410975083144</v>
      </c>
      <c r="D12" s="64">
        <f t="shared" si="0"/>
        <v>1925.0322854491308</v>
      </c>
    </row>
    <row r="13" spans="1:4" ht="20" customHeight="1" x14ac:dyDescent="0.15">
      <c r="A13" s="67"/>
      <c r="B13" s="51">
        <f t="shared" si="1"/>
        <v>6</v>
      </c>
      <c r="C13" s="65">
        <f t="shared" si="0"/>
        <v>1361.0312147191335</v>
      </c>
      <c r="D13" s="64">
        <f t="shared" si="0"/>
        <v>1878.0043190597205</v>
      </c>
    </row>
    <row r="14" spans="1:4" ht="20" customHeight="1" x14ac:dyDescent="0.15">
      <c r="A14" s="67"/>
      <c r="B14" s="51">
        <f t="shared" si="1"/>
        <v>7</v>
      </c>
      <c r="C14" s="65">
        <f t="shared" si="0"/>
        <v>1327.9395008442298</v>
      </c>
      <c r="D14" s="64">
        <f t="shared" si="0"/>
        <v>1832.7693772644388</v>
      </c>
    </row>
    <row r="15" spans="1:4" ht="20" customHeight="1" x14ac:dyDescent="0.15">
      <c r="A15" s="67"/>
      <c r="B15" s="51">
        <f t="shared" si="1"/>
        <v>8</v>
      </c>
      <c r="C15" s="65">
        <f t="shared" si="0"/>
        <v>1296.106389904633</v>
      </c>
      <c r="D15" s="64">
        <f t="shared" si="0"/>
        <v>1789.2465419635232</v>
      </c>
    </row>
    <row r="16" spans="1:4" ht="20" customHeight="1" x14ac:dyDescent="0.15">
      <c r="A16" s="67"/>
      <c r="B16" s="51">
        <f t="shared" si="1"/>
        <v>9</v>
      </c>
      <c r="C16" s="65">
        <f t="shared" si="0"/>
        <v>1265.4751203568683</v>
      </c>
      <c r="D16" s="64">
        <f t="shared" si="0"/>
        <v>1747.3587036598201</v>
      </c>
    </row>
    <row r="17" spans="1:4" ht="20" customHeight="1" x14ac:dyDescent="0.15">
      <c r="A17" s="67"/>
      <c r="B17" s="51">
        <f t="shared" si="1"/>
        <v>10</v>
      </c>
      <c r="C17" s="65">
        <f t="shared" si="0"/>
        <v>1235.9916018688057</v>
      </c>
      <c r="D17" s="64">
        <f t="shared" si="0"/>
        <v>1707.0323805431576</v>
      </c>
    </row>
    <row r="18" spans="1:4" ht="20" customHeight="1" x14ac:dyDescent="0.15">
      <c r="A18" s="67"/>
      <c r="B18" s="51">
        <f t="shared" si="1"/>
        <v>11</v>
      </c>
      <c r="C18" s="65">
        <f t="shared" si="0"/>
        <v>1207.6042884363139</v>
      </c>
      <c r="D18" s="64">
        <f t="shared" si="0"/>
        <v>1668.1975461852837</v>
      </c>
    </row>
    <row r="19" spans="1:4" ht="20" customHeight="1" x14ac:dyDescent="0.15">
      <c r="A19" s="67"/>
      <c r="B19" s="51">
        <f t="shared" si="1"/>
        <v>12</v>
      </c>
      <c r="C19" s="65">
        <f t="shared" si="0"/>
        <v>1180.2640575388045</v>
      </c>
      <c r="D19" s="64">
        <f t="shared" si="0"/>
        <v>1630.7874654353905</v>
      </c>
    </row>
    <row r="20" spans="1:4" ht="20" customHeight="1" x14ac:dyDescent="0.15">
      <c r="A20" s="67"/>
      <c r="B20" s="51">
        <f t="shared" si="1"/>
        <v>13</v>
      </c>
      <c r="C20" s="65">
        <f t="shared" si="0"/>
        <v>1153.9240950461342</v>
      </c>
      <c r="D20" s="64">
        <f t="shared" si="0"/>
        <v>1594.73853812576</v>
      </c>
    </row>
    <row r="21" spans="1:4" ht="20" customHeight="1" x14ac:dyDescent="0.15">
      <c r="A21" s="67"/>
      <c r="B21" s="51">
        <f t="shared" si="1"/>
        <v>14</v>
      </c>
      <c r="C21" s="65">
        <f t="shared" si="0"/>
        <v>1128.5397856030231</v>
      </c>
      <c r="D21" s="64">
        <f t="shared" si="0"/>
        <v>1559.9901502156677</v>
      </c>
    </row>
    <row r="22" spans="1:4" ht="20" customHeight="1" x14ac:dyDescent="0.15">
      <c r="A22" s="67"/>
      <c r="B22" s="51">
        <f t="shared" si="1"/>
        <v>15</v>
      </c>
      <c r="C22" s="65">
        <f t="shared" si="0"/>
        <v>1104.0686082301836</v>
      </c>
      <c r="D22" s="64">
        <f t="shared" si="0"/>
        <v>1526.4845320193826</v>
      </c>
    </row>
    <row r="23" spans="1:4" ht="20" customHeight="1" x14ac:dyDescent="0.15">
      <c r="A23" s="67"/>
      <c r="B23" s="51">
        <f t="shared" si="1"/>
        <v>16</v>
      </c>
      <c r="C23" s="65">
        <f t="shared" si="0"/>
        <v>1080.4700368937777</v>
      </c>
      <c r="D23" s="64">
        <f t="shared" si="0"/>
        <v>1494.1666231809713</v>
      </c>
    </row>
    <row r="24" spans="1:4" ht="20" customHeight="1" x14ac:dyDescent="0.15">
      <c r="A24" s="67"/>
      <c r="B24" s="51">
        <f t="shared" si="1"/>
        <v>17</v>
      </c>
      <c r="C24" s="65">
        <f t="shared" si="0"/>
        <v>1057.7054458066455</v>
      </c>
      <c r="D24" s="64">
        <f t="shared" si="0"/>
        <v>1462.9839440746687</v>
      </c>
    </row>
    <row r="25" spans="1:4" ht="20" customHeight="1" x14ac:dyDescent="0.15">
      <c r="A25" s="67"/>
      <c r="B25" s="51">
        <f t="shared" si="1"/>
        <v>18</v>
      </c>
      <c r="C25" s="65">
        <f t="shared" si="0"/>
        <v>1035.7380192360129</v>
      </c>
      <c r="D25" s="64">
        <f t="shared" si="0"/>
        <v>1432.8864733248813</v>
      </c>
    </row>
    <row r="26" spans="1:4" ht="20" customHeight="1" x14ac:dyDescent="0.15">
      <c r="A26" s="67"/>
      <c r="B26" s="51">
        <f t="shared" si="1"/>
        <v>19</v>
      </c>
      <c r="C26" s="65">
        <f t="shared" si="0"/>
        <v>1014.5326656031136</v>
      </c>
      <c r="D26" s="64">
        <f t="shared" si="0"/>
        <v>1403.8265311544505</v>
      </c>
    </row>
    <row r="27" spans="1:4" ht="20" customHeight="1" x14ac:dyDescent="0.15">
      <c r="A27" s="67"/>
      <c r="B27" s="51">
        <f t="shared" si="1"/>
        <v>20</v>
      </c>
      <c r="C27" s="65">
        <f t="shared" si="0"/>
        <v>994.05593567037863</v>
      </c>
      <c r="D27" s="64">
        <f t="shared" si="0"/>
        <v>1375.7586682836854</v>
      </c>
    </row>
    <row r="28" spans="1:4" ht="20" customHeight="1" x14ac:dyDescent="0.15">
      <c r="A28" s="7"/>
      <c r="B28" s="44"/>
      <c r="C28" s="65"/>
      <c r="D28" s="64"/>
    </row>
    <row r="29" spans="1:4" ht="20" customHeight="1" x14ac:dyDescent="0.15">
      <c r="A29" s="66" t="s">
        <v>54</v>
      </c>
      <c r="B29" s="51">
        <v>1</v>
      </c>
      <c r="C29" s="65">
        <f>'Anlagen Spezifikation'!C30*(1+C5-C6)</f>
        <v>91.698750000000004</v>
      </c>
      <c r="D29" s="64">
        <f>'Anlagen Spezifikation'!D30*(1+D5-D6)</f>
        <v>130.977</v>
      </c>
    </row>
    <row r="30" spans="1:4" ht="20" customHeight="1" x14ac:dyDescent="0.15">
      <c r="A30" s="67"/>
      <c r="B30" s="51">
        <f t="shared" ref="B30:B48" si="2">$B29+1</f>
        <v>2</v>
      </c>
      <c r="C30" s="65">
        <f t="shared" ref="C30:C48" si="3">C29*(1+C$5-C$6)</f>
        <v>90.781762499999999</v>
      </c>
      <c r="D30" s="64">
        <f t="shared" ref="D30:D48" si="4">D29*(1+D$5-D$6)</f>
        <v>129.66722999999999</v>
      </c>
    </row>
    <row r="31" spans="1:4" ht="20" customHeight="1" x14ac:dyDescent="0.15">
      <c r="A31" s="67"/>
      <c r="B31" s="51">
        <f t="shared" si="2"/>
        <v>3</v>
      </c>
      <c r="C31" s="65">
        <f t="shared" si="3"/>
        <v>89.873944874999992</v>
      </c>
      <c r="D31" s="64">
        <f t="shared" si="4"/>
        <v>128.37055769999998</v>
      </c>
    </row>
    <row r="32" spans="1:4" ht="20" customHeight="1" x14ac:dyDescent="0.15">
      <c r="A32" s="67"/>
      <c r="B32" s="51">
        <f t="shared" si="2"/>
        <v>4</v>
      </c>
      <c r="C32" s="65">
        <f t="shared" si="3"/>
        <v>88.975205426249985</v>
      </c>
      <c r="D32" s="64">
        <f t="shared" si="4"/>
        <v>127.08685212299997</v>
      </c>
    </row>
    <row r="33" spans="1:4" ht="20" customHeight="1" x14ac:dyDescent="0.15">
      <c r="A33" s="67"/>
      <c r="B33" s="51">
        <f t="shared" si="2"/>
        <v>5</v>
      </c>
      <c r="C33" s="65">
        <f t="shared" si="3"/>
        <v>88.085453371987484</v>
      </c>
      <c r="D33" s="64">
        <f t="shared" si="4"/>
        <v>125.81598360176997</v>
      </c>
    </row>
    <row r="34" spans="1:4" ht="20" customHeight="1" x14ac:dyDescent="0.15">
      <c r="A34" s="67"/>
      <c r="B34" s="51">
        <f t="shared" si="2"/>
        <v>6</v>
      </c>
      <c r="C34" s="65">
        <f t="shared" si="3"/>
        <v>87.204598838267614</v>
      </c>
      <c r="D34" s="64">
        <f t="shared" si="4"/>
        <v>124.55782376575227</v>
      </c>
    </row>
    <row r="35" spans="1:4" ht="20" customHeight="1" x14ac:dyDescent="0.15">
      <c r="A35" s="67"/>
      <c r="B35" s="51">
        <f t="shared" si="2"/>
        <v>7</v>
      </c>
      <c r="C35" s="65">
        <f t="shared" si="3"/>
        <v>86.332552849884934</v>
      </c>
      <c r="D35" s="64">
        <f t="shared" si="4"/>
        <v>123.31224552809475</v>
      </c>
    </row>
    <row r="36" spans="1:4" ht="20" customHeight="1" x14ac:dyDescent="0.15">
      <c r="A36" s="67"/>
      <c r="B36" s="51">
        <f t="shared" si="2"/>
        <v>8</v>
      </c>
      <c r="C36" s="65">
        <f t="shared" si="3"/>
        <v>85.469227321386086</v>
      </c>
      <c r="D36" s="64">
        <f t="shared" si="4"/>
        <v>122.0791230728138</v>
      </c>
    </row>
    <row r="37" spans="1:4" ht="20" customHeight="1" x14ac:dyDescent="0.15">
      <c r="A37" s="67"/>
      <c r="B37" s="51">
        <f t="shared" si="2"/>
        <v>9</v>
      </c>
      <c r="C37" s="65">
        <f t="shared" si="3"/>
        <v>84.614535048172229</v>
      </c>
      <c r="D37" s="64">
        <f t="shared" si="4"/>
        <v>120.85833184208566</v>
      </c>
    </row>
    <row r="38" spans="1:4" ht="20" customHeight="1" x14ac:dyDescent="0.15">
      <c r="A38" s="67"/>
      <c r="B38" s="51">
        <f t="shared" si="2"/>
        <v>10</v>
      </c>
      <c r="C38" s="65">
        <f t="shared" si="3"/>
        <v>83.768389697690509</v>
      </c>
      <c r="D38" s="64">
        <f t="shared" si="4"/>
        <v>119.6497485236648</v>
      </c>
    </row>
    <row r="39" spans="1:4" ht="20" customHeight="1" x14ac:dyDescent="0.15">
      <c r="A39" s="67"/>
      <c r="B39" s="51">
        <f t="shared" si="2"/>
        <v>11</v>
      </c>
      <c r="C39" s="65">
        <f t="shared" si="3"/>
        <v>82.930705800713596</v>
      </c>
      <c r="D39" s="64">
        <f t="shared" si="4"/>
        <v>118.45325103842815</v>
      </c>
    </row>
    <row r="40" spans="1:4" ht="20" customHeight="1" x14ac:dyDescent="0.15">
      <c r="A40" s="67"/>
      <c r="B40" s="51">
        <f t="shared" si="2"/>
        <v>12</v>
      </c>
      <c r="C40" s="65">
        <f t="shared" si="3"/>
        <v>82.101398742706465</v>
      </c>
      <c r="D40" s="64">
        <f t="shared" si="4"/>
        <v>117.26871852804386</v>
      </c>
    </row>
    <row r="41" spans="1:4" ht="20" customHeight="1" x14ac:dyDescent="0.15">
      <c r="A41" s="67"/>
      <c r="B41" s="51">
        <f t="shared" si="2"/>
        <v>13</v>
      </c>
      <c r="C41" s="65">
        <f t="shared" si="3"/>
        <v>81.2803847552794</v>
      </c>
      <c r="D41" s="64">
        <f t="shared" si="4"/>
        <v>116.09603134276342</v>
      </c>
    </row>
    <row r="42" spans="1:4" ht="20" customHeight="1" x14ac:dyDescent="0.15">
      <c r="A42" s="67"/>
      <c r="B42" s="51">
        <f t="shared" si="2"/>
        <v>14</v>
      </c>
      <c r="C42" s="65">
        <f t="shared" si="3"/>
        <v>80.4675809077266</v>
      </c>
      <c r="D42" s="64">
        <f t="shared" si="4"/>
        <v>114.93507102933579</v>
      </c>
    </row>
    <row r="43" spans="1:4" ht="20" customHeight="1" x14ac:dyDescent="0.15">
      <c r="A43" s="67"/>
      <c r="B43" s="51">
        <f t="shared" si="2"/>
        <v>15</v>
      </c>
      <c r="C43" s="65">
        <f t="shared" si="3"/>
        <v>79.662905098649333</v>
      </c>
      <c r="D43" s="64">
        <f t="shared" si="4"/>
        <v>113.78572031904243</v>
      </c>
    </row>
    <row r="44" spans="1:4" ht="20" customHeight="1" x14ac:dyDescent="0.15">
      <c r="A44" s="67"/>
      <c r="B44" s="51">
        <f t="shared" si="2"/>
        <v>16</v>
      </c>
      <c r="C44" s="65">
        <f t="shared" si="3"/>
        <v>78.866276047662836</v>
      </c>
      <c r="D44" s="64">
        <f t="shared" si="4"/>
        <v>112.647863115852</v>
      </c>
    </row>
    <row r="45" spans="1:4" ht="20" customHeight="1" x14ac:dyDescent="0.15">
      <c r="A45" s="67"/>
      <c r="B45" s="51">
        <f t="shared" si="2"/>
        <v>17</v>
      </c>
      <c r="C45" s="65">
        <f t="shared" si="3"/>
        <v>78.07761328718621</v>
      </c>
      <c r="D45" s="64">
        <f t="shared" si="4"/>
        <v>111.52138448469348</v>
      </c>
    </row>
    <row r="46" spans="1:4" ht="20" customHeight="1" x14ac:dyDescent="0.15">
      <c r="A46" s="67"/>
      <c r="B46" s="51">
        <f t="shared" si="2"/>
        <v>18</v>
      </c>
      <c r="C46" s="65">
        <f t="shared" si="3"/>
        <v>77.296837154314346</v>
      </c>
      <c r="D46" s="64">
        <f t="shared" si="4"/>
        <v>110.40617063984655</v>
      </c>
    </row>
    <row r="47" spans="1:4" ht="20" customHeight="1" x14ac:dyDescent="0.15">
      <c r="A47" s="67"/>
      <c r="B47" s="51">
        <f t="shared" si="2"/>
        <v>19</v>
      </c>
      <c r="C47" s="65">
        <f t="shared" si="3"/>
        <v>76.523868782771203</v>
      </c>
      <c r="D47" s="64">
        <f t="shared" si="4"/>
        <v>109.30210893344808</v>
      </c>
    </row>
    <row r="48" spans="1:4" ht="20" customHeight="1" x14ac:dyDescent="0.15">
      <c r="A48" s="67"/>
      <c r="B48" s="51">
        <f t="shared" si="2"/>
        <v>20</v>
      </c>
      <c r="C48" s="65">
        <f t="shared" si="3"/>
        <v>75.758630094943484</v>
      </c>
      <c r="D48" s="64">
        <f t="shared" si="4"/>
        <v>108.2090878441136</v>
      </c>
    </row>
    <row r="49" spans="1:4" ht="20" customHeight="1" x14ac:dyDescent="0.15">
      <c r="A49" s="7"/>
      <c r="B49" s="44"/>
      <c r="C49" s="65"/>
      <c r="D49" s="64"/>
    </row>
    <row r="50" spans="1:4" ht="20" customHeight="1" x14ac:dyDescent="0.15">
      <c r="A50" s="66" t="s">
        <v>55</v>
      </c>
      <c r="B50" s="51">
        <v>1</v>
      </c>
      <c r="C50" s="65">
        <f>'Anlagen Spezifikation'!C31*(1+C$5-C$6)</f>
        <v>72.393749999999997</v>
      </c>
      <c r="D50" s="64">
        <f>'Anlagen Spezifikation'!D31*(1+D$5-D$6)</f>
        <v>94.742999999999995</v>
      </c>
    </row>
    <row r="51" spans="1:4" ht="20" customHeight="1" x14ac:dyDescent="0.15">
      <c r="A51" s="67"/>
      <c r="B51" s="51">
        <f t="shared" ref="B51:B69" si="5">$B50+1</f>
        <v>2</v>
      </c>
      <c r="C51" s="65">
        <f t="shared" ref="C51:C69" si="6">C50*(1+C$5-C$6)</f>
        <v>71.669812499999992</v>
      </c>
      <c r="D51" s="64">
        <f t="shared" ref="D51:D69" si="7">D50*(1+D$5-D$6)</f>
        <v>93.795569999999998</v>
      </c>
    </row>
    <row r="52" spans="1:4" ht="20" customHeight="1" x14ac:dyDescent="0.15">
      <c r="A52" s="67"/>
      <c r="B52" s="51">
        <f t="shared" si="5"/>
        <v>3</v>
      </c>
      <c r="C52" s="65">
        <f t="shared" si="6"/>
        <v>70.953114374999998</v>
      </c>
      <c r="D52" s="64">
        <f t="shared" si="7"/>
        <v>92.857614299999995</v>
      </c>
    </row>
    <row r="53" spans="1:4" ht="20" customHeight="1" x14ac:dyDescent="0.15">
      <c r="A53" s="67"/>
      <c r="B53" s="51">
        <f t="shared" si="5"/>
        <v>4</v>
      </c>
      <c r="C53" s="65">
        <f t="shared" si="6"/>
        <v>70.24358323125</v>
      </c>
      <c r="D53" s="64">
        <f t="shared" si="7"/>
        <v>91.929038156999994</v>
      </c>
    </row>
    <row r="54" spans="1:4" ht="20" customHeight="1" x14ac:dyDescent="0.15">
      <c r="A54" s="67"/>
      <c r="B54" s="51">
        <f t="shared" si="5"/>
        <v>5</v>
      </c>
      <c r="C54" s="65">
        <f t="shared" si="6"/>
        <v>69.541147398937497</v>
      </c>
      <c r="D54" s="64">
        <f t="shared" si="7"/>
        <v>91.009747775429986</v>
      </c>
    </row>
    <row r="55" spans="1:4" ht="20" customHeight="1" x14ac:dyDescent="0.15">
      <c r="A55" s="67"/>
      <c r="B55" s="51">
        <f t="shared" si="5"/>
        <v>6</v>
      </c>
      <c r="C55" s="65">
        <f t="shared" si="6"/>
        <v>68.845735924948116</v>
      </c>
      <c r="D55" s="64">
        <f t="shared" si="7"/>
        <v>90.09965029767568</v>
      </c>
    </row>
    <row r="56" spans="1:4" ht="20" customHeight="1" x14ac:dyDescent="0.15">
      <c r="A56" s="67"/>
      <c r="B56" s="51">
        <f t="shared" si="5"/>
        <v>7</v>
      </c>
      <c r="C56" s="65">
        <f t="shared" si="6"/>
        <v>68.157278565698633</v>
      </c>
      <c r="D56" s="64">
        <f t="shared" si="7"/>
        <v>89.198653794698927</v>
      </c>
    </row>
    <row r="57" spans="1:4" ht="20" customHeight="1" x14ac:dyDescent="0.15">
      <c r="A57" s="67"/>
      <c r="B57" s="51">
        <f t="shared" si="5"/>
        <v>8</v>
      </c>
      <c r="C57" s="65">
        <f t="shared" si="6"/>
        <v>67.47570578004165</v>
      </c>
      <c r="D57" s="64">
        <f t="shared" si="7"/>
        <v>88.306667256751936</v>
      </c>
    </row>
    <row r="58" spans="1:4" ht="20" customHeight="1" x14ac:dyDescent="0.15">
      <c r="A58" s="67"/>
      <c r="B58" s="51">
        <f t="shared" si="5"/>
        <v>9</v>
      </c>
      <c r="C58" s="65">
        <f t="shared" si="6"/>
        <v>66.80094872224123</v>
      </c>
      <c r="D58" s="64">
        <f t="shared" si="7"/>
        <v>87.423600584184413</v>
      </c>
    </row>
    <row r="59" spans="1:4" ht="20" customHeight="1" x14ac:dyDescent="0.15">
      <c r="A59" s="67"/>
      <c r="B59" s="51">
        <f t="shared" si="5"/>
        <v>10</v>
      </c>
      <c r="C59" s="65">
        <f t="shared" si="6"/>
        <v>66.132939235018824</v>
      </c>
      <c r="D59" s="64">
        <f t="shared" si="7"/>
        <v>86.549364578342562</v>
      </c>
    </row>
    <row r="60" spans="1:4" ht="20" customHeight="1" x14ac:dyDescent="0.15">
      <c r="A60" s="67"/>
      <c r="B60" s="51">
        <f t="shared" si="5"/>
        <v>11</v>
      </c>
      <c r="C60" s="65">
        <f t="shared" si="6"/>
        <v>65.471609842668641</v>
      </c>
      <c r="D60" s="64">
        <f t="shared" si="7"/>
        <v>85.683870932559131</v>
      </c>
    </row>
    <row r="61" spans="1:4" ht="20" customHeight="1" x14ac:dyDescent="0.15">
      <c r="A61" s="67"/>
      <c r="B61" s="51">
        <f t="shared" si="5"/>
        <v>12</v>
      </c>
      <c r="C61" s="65">
        <f t="shared" si="6"/>
        <v>64.816893744241952</v>
      </c>
      <c r="D61" s="64">
        <f t="shared" si="7"/>
        <v>84.827032223233545</v>
      </c>
    </row>
    <row r="62" spans="1:4" ht="20" customHeight="1" x14ac:dyDescent="0.15">
      <c r="A62" s="67"/>
      <c r="B62" s="51">
        <f t="shared" si="5"/>
        <v>13</v>
      </c>
      <c r="C62" s="65">
        <f t="shared" si="6"/>
        <v>64.168724806799531</v>
      </c>
      <c r="D62" s="64">
        <f t="shared" si="7"/>
        <v>83.978761901001207</v>
      </c>
    </row>
    <row r="63" spans="1:4" ht="20" customHeight="1" x14ac:dyDescent="0.15">
      <c r="A63" s="67"/>
      <c r="B63" s="51">
        <f t="shared" si="5"/>
        <v>14</v>
      </c>
      <c r="C63" s="65">
        <f t="shared" si="6"/>
        <v>63.527037558731536</v>
      </c>
      <c r="D63" s="64">
        <f t="shared" si="7"/>
        <v>83.138974281991196</v>
      </c>
    </row>
    <row r="64" spans="1:4" ht="20" customHeight="1" x14ac:dyDescent="0.15">
      <c r="A64" s="67"/>
      <c r="B64" s="51">
        <f t="shared" si="5"/>
        <v>15</v>
      </c>
      <c r="C64" s="65">
        <f t="shared" si="6"/>
        <v>62.891767183144218</v>
      </c>
      <c r="D64" s="64">
        <f t="shared" si="7"/>
        <v>82.307584539171287</v>
      </c>
    </row>
    <row r="65" spans="1:4" ht="20" customHeight="1" x14ac:dyDescent="0.15">
      <c r="A65" s="67"/>
      <c r="B65" s="51">
        <f t="shared" si="5"/>
        <v>16</v>
      </c>
      <c r="C65" s="65">
        <f t="shared" si="6"/>
        <v>62.262849511312773</v>
      </c>
      <c r="D65" s="64">
        <f t="shared" si="7"/>
        <v>81.484508693779574</v>
      </c>
    </row>
    <row r="66" spans="1:4" ht="20" customHeight="1" x14ac:dyDescent="0.15">
      <c r="A66" s="67"/>
      <c r="B66" s="51">
        <f t="shared" si="5"/>
        <v>17</v>
      </c>
      <c r="C66" s="65">
        <f t="shared" si="6"/>
        <v>61.640221016199646</v>
      </c>
      <c r="D66" s="64">
        <f t="shared" si="7"/>
        <v>80.66966360684178</v>
      </c>
    </row>
    <row r="67" spans="1:4" ht="20" customHeight="1" x14ac:dyDescent="0.15">
      <c r="A67" s="67"/>
      <c r="B67" s="51">
        <f t="shared" si="5"/>
        <v>18</v>
      </c>
      <c r="C67" s="65">
        <f t="shared" si="6"/>
        <v>61.023818806037653</v>
      </c>
      <c r="D67" s="64">
        <f t="shared" si="7"/>
        <v>79.862966970773357</v>
      </c>
    </row>
    <row r="68" spans="1:4" ht="20" customHeight="1" x14ac:dyDescent="0.15">
      <c r="A68" s="67"/>
      <c r="B68" s="51">
        <f t="shared" si="5"/>
        <v>19</v>
      </c>
      <c r="C68" s="65">
        <f t="shared" si="6"/>
        <v>60.413580617977274</v>
      </c>
      <c r="D68" s="64">
        <f t="shared" si="7"/>
        <v>79.064337301065621</v>
      </c>
    </row>
    <row r="69" spans="1:4" ht="20" customHeight="1" x14ac:dyDescent="0.15">
      <c r="A69" s="67"/>
      <c r="B69" s="51">
        <f t="shared" si="5"/>
        <v>20</v>
      </c>
      <c r="C69" s="65">
        <f t="shared" si="6"/>
        <v>59.809444811797498</v>
      </c>
      <c r="D69" s="64">
        <f t="shared" si="7"/>
        <v>78.273693928054968</v>
      </c>
    </row>
    <row r="70" spans="1:4" ht="20" customHeight="1" x14ac:dyDescent="0.15">
      <c r="A70" s="7"/>
      <c r="B70" s="44"/>
      <c r="C70" s="65"/>
      <c r="D70" s="64"/>
    </row>
    <row r="71" spans="1:4" ht="20" customHeight="1" x14ac:dyDescent="0.15">
      <c r="A71" s="66" t="s">
        <v>56</v>
      </c>
      <c r="B71" s="51">
        <v>1</v>
      </c>
      <c r="C71" s="65">
        <f>'Anlagen Spezifikation'!C32/C6</f>
        <v>660.93522857142852</v>
      </c>
      <c r="D71" s="64">
        <f>'Anlagen Spezifikation'!D32/D6</f>
        <v>897.52137451428564</v>
      </c>
    </row>
    <row r="72" spans="1:4" ht="20" customHeight="1" x14ac:dyDescent="0.15">
      <c r="A72" s="67"/>
      <c r="B72" s="51">
        <f t="shared" ref="B72:B90" si="8">$B71+1</f>
        <v>2</v>
      </c>
      <c r="C72" s="65">
        <f t="shared" ref="C72:C90" si="9">C71/C$6</f>
        <v>629.46212244897947</v>
      </c>
      <c r="D72" s="64">
        <f t="shared" ref="D72:D90" si="10">D71/D$6</f>
        <v>854.78226144217672</v>
      </c>
    </row>
    <row r="73" spans="1:4" ht="20" customHeight="1" x14ac:dyDescent="0.15">
      <c r="A73" s="67"/>
      <c r="B73" s="51">
        <f t="shared" si="8"/>
        <v>3</v>
      </c>
      <c r="C73" s="65">
        <f t="shared" si="9"/>
        <v>599.48773566569469</v>
      </c>
      <c r="D73" s="64">
        <f t="shared" si="10"/>
        <v>814.07834423064446</v>
      </c>
    </row>
    <row r="74" spans="1:4" ht="20" customHeight="1" x14ac:dyDescent="0.15">
      <c r="A74" s="67"/>
      <c r="B74" s="51">
        <f t="shared" si="8"/>
        <v>4</v>
      </c>
      <c r="C74" s="65">
        <f t="shared" si="9"/>
        <v>570.94070063399488</v>
      </c>
      <c r="D74" s="64">
        <f t="shared" si="10"/>
        <v>775.3127087910899</v>
      </c>
    </row>
    <row r="75" spans="1:4" ht="20" customHeight="1" x14ac:dyDescent="0.15">
      <c r="A75" s="67"/>
      <c r="B75" s="51">
        <f t="shared" si="8"/>
        <v>5</v>
      </c>
      <c r="C75" s="65">
        <f t="shared" si="9"/>
        <v>543.75304822285227</v>
      </c>
      <c r="D75" s="64">
        <f t="shared" si="10"/>
        <v>738.39305599151419</v>
      </c>
    </row>
    <row r="76" spans="1:4" ht="20" customHeight="1" x14ac:dyDescent="0.15">
      <c r="A76" s="67"/>
      <c r="B76" s="51">
        <f t="shared" si="8"/>
        <v>6</v>
      </c>
      <c r="C76" s="65">
        <f t="shared" si="9"/>
        <v>517.86004592652591</v>
      </c>
      <c r="D76" s="64">
        <f t="shared" si="10"/>
        <v>703.23148189668018</v>
      </c>
    </row>
    <row r="77" spans="1:4" ht="20" customHeight="1" x14ac:dyDescent="0.15">
      <c r="A77" s="67"/>
      <c r="B77" s="51">
        <f t="shared" si="8"/>
        <v>7</v>
      </c>
      <c r="C77" s="65">
        <f t="shared" si="9"/>
        <v>493.20004373954845</v>
      </c>
      <c r="D77" s="64">
        <f t="shared" si="10"/>
        <v>669.74426847302868</v>
      </c>
    </row>
    <row r="78" spans="1:4" ht="20" customHeight="1" x14ac:dyDescent="0.15">
      <c r="A78" s="67"/>
      <c r="B78" s="51">
        <f t="shared" si="8"/>
        <v>8</v>
      </c>
      <c r="C78" s="65">
        <f t="shared" si="9"/>
        <v>469.71432737099849</v>
      </c>
      <c r="D78" s="64">
        <f t="shared" si="10"/>
        <v>637.85168426002724</v>
      </c>
    </row>
    <row r="79" spans="1:4" ht="20" customHeight="1" x14ac:dyDescent="0.15">
      <c r="A79" s="67"/>
      <c r="B79" s="51">
        <f t="shared" si="8"/>
        <v>9</v>
      </c>
      <c r="C79" s="65">
        <f t="shared" si="9"/>
        <v>447.34697844856998</v>
      </c>
      <c r="D79" s="64">
        <f t="shared" si="10"/>
        <v>607.4777945333592</v>
      </c>
    </row>
    <row r="80" spans="1:4" ht="20" customHeight="1" x14ac:dyDescent="0.15">
      <c r="A80" s="67"/>
      <c r="B80" s="51">
        <f t="shared" si="8"/>
        <v>10</v>
      </c>
      <c r="C80" s="65">
        <f t="shared" si="9"/>
        <v>426.04474137959045</v>
      </c>
      <c r="D80" s="64">
        <f t="shared" si="10"/>
        <v>578.55028050796113</v>
      </c>
    </row>
    <row r="81" spans="1:4" ht="20" customHeight="1" x14ac:dyDescent="0.15">
      <c r="A81" s="67"/>
      <c r="B81" s="51">
        <f t="shared" si="8"/>
        <v>11</v>
      </c>
      <c r="C81" s="65">
        <f t="shared" si="9"/>
        <v>405.75689655199091</v>
      </c>
      <c r="D81" s="64">
        <f t="shared" si="10"/>
        <v>551.00026715043919</v>
      </c>
    </row>
    <row r="82" spans="1:4" ht="20" customHeight="1" x14ac:dyDescent="0.15">
      <c r="A82" s="67"/>
      <c r="B82" s="51">
        <f t="shared" si="8"/>
        <v>12</v>
      </c>
      <c r="C82" s="65">
        <f t="shared" si="9"/>
        <v>386.43513957332465</v>
      </c>
      <c r="D82" s="64">
        <f t="shared" si="10"/>
        <v>524.76215919089441</v>
      </c>
    </row>
    <row r="83" spans="1:4" ht="20" customHeight="1" x14ac:dyDescent="0.15">
      <c r="A83" s="67"/>
      <c r="B83" s="51">
        <f t="shared" si="8"/>
        <v>13</v>
      </c>
      <c r="C83" s="65">
        <f t="shared" si="9"/>
        <v>368.03346626030918</v>
      </c>
      <c r="D83" s="64">
        <f t="shared" si="10"/>
        <v>499.77348494370892</v>
      </c>
    </row>
    <row r="84" spans="1:4" ht="20" customHeight="1" x14ac:dyDescent="0.15">
      <c r="A84" s="67"/>
      <c r="B84" s="51">
        <f t="shared" si="8"/>
        <v>14</v>
      </c>
      <c r="C84" s="65">
        <f t="shared" si="9"/>
        <v>350.50806310505635</v>
      </c>
      <c r="D84" s="64">
        <f t="shared" si="10"/>
        <v>475.97474756543704</v>
      </c>
    </row>
    <row r="85" spans="1:4" ht="20" customHeight="1" x14ac:dyDescent="0.15">
      <c r="A85" s="67"/>
      <c r="B85" s="51">
        <f t="shared" si="8"/>
        <v>15</v>
      </c>
      <c r="C85" s="65">
        <f t="shared" si="9"/>
        <v>333.81720295719651</v>
      </c>
      <c r="D85" s="64">
        <f t="shared" si="10"/>
        <v>453.30928339565429</v>
      </c>
    </row>
    <row r="86" spans="1:4" ht="20" customHeight="1" x14ac:dyDescent="0.15">
      <c r="A86" s="67"/>
      <c r="B86" s="51">
        <f t="shared" si="8"/>
        <v>16</v>
      </c>
      <c r="C86" s="65">
        <f t="shared" si="9"/>
        <v>317.92114567352047</v>
      </c>
      <c r="D86" s="64">
        <f t="shared" si="10"/>
        <v>431.72312704348025</v>
      </c>
    </row>
    <row r="87" spans="1:4" ht="20" customHeight="1" x14ac:dyDescent="0.15">
      <c r="A87" s="67"/>
      <c r="B87" s="51">
        <f t="shared" si="8"/>
        <v>17</v>
      </c>
      <c r="C87" s="65">
        <f t="shared" si="9"/>
        <v>302.78204349859089</v>
      </c>
      <c r="D87" s="64">
        <f t="shared" si="10"/>
        <v>411.16488289855261</v>
      </c>
    </row>
    <row r="88" spans="1:4" ht="20" customHeight="1" x14ac:dyDescent="0.15">
      <c r="A88" s="67"/>
      <c r="B88" s="51">
        <f t="shared" si="8"/>
        <v>18</v>
      </c>
      <c r="C88" s="65">
        <f t="shared" si="9"/>
        <v>288.36385095103896</v>
      </c>
      <c r="D88" s="64">
        <f t="shared" si="10"/>
        <v>391.58560276052629</v>
      </c>
    </row>
    <row r="89" spans="1:4" ht="20" customHeight="1" x14ac:dyDescent="0.15">
      <c r="A89" s="67"/>
      <c r="B89" s="51">
        <f t="shared" si="8"/>
        <v>19</v>
      </c>
      <c r="C89" s="65">
        <f t="shared" si="9"/>
        <v>274.63223900098944</v>
      </c>
      <c r="D89" s="64">
        <f t="shared" si="10"/>
        <v>372.93866929573932</v>
      </c>
    </row>
    <row r="90" spans="1:4" ht="20" customHeight="1" x14ac:dyDescent="0.15">
      <c r="A90" s="67"/>
      <c r="B90" s="51">
        <f t="shared" si="8"/>
        <v>20</v>
      </c>
      <c r="C90" s="65">
        <f t="shared" si="9"/>
        <v>261.55451333427567</v>
      </c>
      <c r="D90" s="64">
        <f t="shared" si="10"/>
        <v>355.17968504356122</v>
      </c>
    </row>
    <row r="91" spans="1:4" ht="20" customHeight="1" x14ac:dyDescent="0.15">
      <c r="A91" s="7"/>
      <c r="B91" s="44"/>
      <c r="C91" s="65"/>
      <c r="D91" s="64"/>
    </row>
    <row r="92" spans="1:4" ht="20" customHeight="1" x14ac:dyDescent="0.15">
      <c r="A92" s="66" t="s">
        <v>57</v>
      </c>
      <c r="B92" s="51">
        <f>1</f>
        <v>1</v>
      </c>
      <c r="C92" s="65">
        <f>'Anlagen Spezifikation'!C33*(1+C5-C6)</f>
        <v>1050.7170960000001</v>
      </c>
      <c r="D92" s="64">
        <f>'Anlagen Spezifikation'!D33*(1+D5-D6)</f>
        <v>1461.0355927199998</v>
      </c>
    </row>
    <row r="93" spans="1:4" ht="20" customHeight="1" x14ac:dyDescent="0.15">
      <c r="A93" s="67"/>
      <c r="B93" s="51">
        <f t="shared" ref="B93:B111" si="11">$B92+1</f>
        <v>2</v>
      </c>
      <c r="C93" s="65">
        <f t="shared" ref="C93:C111" si="12">C92*(1+C$5-C$6)</f>
        <v>1040.2099250400001</v>
      </c>
      <c r="D93" s="64">
        <f t="shared" ref="D93:D111" si="13">D92*(1+D$5-D$6)</f>
        <v>1446.4252367927998</v>
      </c>
    </row>
    <row r="94" spans="1:4" ht="20" customHeight="1" x14ac:dyDescent="0.15">
      <c r="A94" s="67"/>
      <c r="B94" s="51">
        <f t="shared" si="11"/>
        <v>3</v>
      </c>
      <c r="C94" s="65">
        <f t="shared" si="12"/>
        <v>1029.8078257896002</v>
      </c>
      <c r="D94" s="64">
        <f t="shared" si="13"/>
        <v>1431.9609844248716</v>
      </c>
    </row>
    <row r="95" spans="1:4" ht="20" customHeight="1" x14ac:dyDescent="0.15">
      <c r="A95" s="67"/>
      <c r="B95" s="51">
        <f t="shared" si="11"/>
        <v>4</v>
      </c>
      <c r="C95" s="65">
        <f t="shared" si="12"/>
        <v>1019.5097475317042</v>
      </c>
      <c r="D95" s="64">
        <f t="shared" si="13"/>
        <v>1417.6413745806228</v>
      </c>
    </row>
    <row r="96" spans="1:4" ht="20" customHeight="1" x14ac:dyDescent="0.15">
      <c r="A96" s="67"/>
      <c r="B96" s="51">
        <f t="shared" si="11"/>
        <v>5</v>
      </c>
      <c r="C96" s="65">
        <f t="shared" si="12"/>
        <v>1009.3146500563871</v>
      </c>
      <c r="D96" s="64">
        <f t="shared" si="13"/>
        <v>1403.4649608348166</v>
      </c>
    </row>
    <row r="97" spans="1:4" ht="20" customHeight="1" x14ac:dyDescent="0.15">
      <c r="A97" s="67"/>
      <c r="B97" s="51">
        <f t="shared" si="11"/>
        <v>6</v>
      </c>
      <c r="C97" s="65">
        <f t="shared" si="12"/>
        <v>999.22150355582323</v>
      </c>
      <c r="D97" s="64">
        <f t="shared" si="13"/>
        <v>1389.4303112264683</v>
      </c>
    </row>
    <row r="98" spans="1:4" ht="20" customHeight="1" x14ac:dyDescent="0.15">
      <c r="A98" s="67"/>
      <c r="B98" s="51">
        <f t="shared" si="11"/>
        <v>7</v>
      </c>
      <c r="C98" s="65">
        <f t="shared" si="12"/>
        <v>989.22928852026496</v>
      </c>
      <c r="D98" s="64">
        <f t="shared" si="13"/>
        <v>1375.5360081142037</v>
      </c>
    </row>
    <row r="99" spans="1:4" ht="20" customHeight="1" x14ac:dyDescent="0.15">
      <c r="A99" s="67"/>
      <c r="B99" s="51">
        <f t="shared" si="11"/>
        <v>8</v>
      </c>
      <c r="C99" s="65">
        <f t="shared" si="12"/>
        <v>979.33699563506229</v>
      </c>
      <c r="D99" s="64">
        <f t="shared" si="13"/>
        <v>1361.7806480330617</v>
      </c>
    </row>
    <row r="100" spans="1:4" ht="20" customHeight="1" x14ac:dyDescent="0.15">
      <c r="A100" s="67"/>
      <c r="B100" s="51">
        <f t="shared" si="11"/>
        <v>9</v>
      </c>
      <c r="C100" s="65">
        <f t="shared" si="12"/>
        <v>969.54362567871169</v>
      </c>
      <c r="D100" s="64">
        <f t="shared" si="13"/>
        <v>1348.1628415527309</v>
      </c>
    </row>
    <row r="101" spans="1:4" ht="20" customHeight="1" x14ac:dyDescent="0.15">
      <c r="A101" s="67"/>
      <c r="B101" s="51">
        <f t="shared" si="11"/>
        <v>10</v>
      </c>
      <c r="C101" s="65">
        <f t="shared" si="12"/>
        <v>959.84818942192453</v>
      </c>
      <c r="D101" s="64">
        <f t="shared" si="13"/>
        <v>1334.6812131372037</v>
      </c>
    </row>
    <row r="102" spans="1:4" ht="20" customHeight="1" x14ac:dyDescent="0.15">
      <c r="A102" s="67"/>
      <c r="B102" s="51">
        <f t="shared" si="11"/>
        <v>11</v>
      </c>
      <c r="C102" s="65">
        <f t="shared" si="12"/>
        <v>950.24970752770525</v>
      </c>
      <c r="D102" s="64">
        <f t="shared" si="13"/>
        <v>1321.3344010058318</v>
      </c>
    </row>
    <row r="103" spans="1:4" ht="20" customHeight="1" x14ac:dyDescent="0.15">
      <c r="A103" s="67"/>
      <c r="B103" s="51">
        <f t="shared" si="11"/>
        <v>12</v>
      </c>
      <c r="C103" s="65">
        <f t="shared" si="12"/>
        <v>940.74721045242825</v>
      </c>
      <c r="D103" s="64">
        <f t="shared" si="13"/>
        <v>1308.1210569957734</v>
      </c>
    </row>
    <row r="104" spans="1:4" ht="20" customHeight="1" x14ac:dyDescent="0.15">
      <c r="A104" s="67"/>
      <c r="B104" s="51">
        <f t="shared" si="11"/>
        <v>13</v>
      </c>
      <c r="C104" s="65">
        <f t="shared" si="12"/>
        <v>931.3397383479039</v>
      </c>
      <c r="D104" s="64">
        <f t="shared" si="13"/>
        <v>1295.0398464258158</v>
      </c>
    </row>
    <row r="105" spans="1:4" ht="20" customHeight="1" x14ac:dyDescent="0.15">
      <c r="A105" s="67"/>
      <c r="B105" s="51">
        <f t="shared" si="11"/>
        <v>14</v>
      </c>
      <c r="C105" s="65">
        <f t="shared" si="12"/>
        <v>922.02634096442489</v>
      </c>
      <c r="D105" s="64">
        <f t="shared" si="13"/>
        <v>1282.0894479615577</v>
      </c>
    </row>
    <row r="106" spans="1:4" ht="20" customHeight="1" x14ac:dyDescent="0.15">
      <c r="A106" s="67"/>
      <c r="B106" s="51">
        <f t="shared" si="11"/>
        <v>15</v>
      </c>
      <c r="C106" s="65">
        <f t="shared" si="12"/>
        <v>912.80607755478059</v>
      </c>
      <c r="D106" s="64">
        <f t="shared" si="13"/>
        <v>1269.268553481942</v>
      </c>
    </row>
    <row r="107" spans="1:4" ht="20" customHeight="1" x14ac:dyDescent="0.15">
      <c r="A107" s="67"/>
      <c r="B107" s="51">
        <f t="shared" si="11"/>
        <v>16</v>
      </c>
      <c r="C107" s="65">
        <f t="shared" si="12"/>
        <v>903.67801677923273</v>
      </c>
      <c r="D107" s="64">
        <f t="shared" si="13"/>
        <v>1256.5758679471226</v>
      </c>
    </row>
    <row r="108" spans="1:4" ht="20" customHeight="1" x14ac:dyDescent="0.15">
      <c r="A108" s="67"/>
      <c r="B108" s="51">
        <f t="shared" si="11"/>
        <v>17</v>
      </c>
      <c r="C108" s="65">
        <f t="shared" si="12"/>
        <v>894.64123661144038</v>
      </c>
      <c r="D108" s="64">
        <f t="shared" si="13"/>
        <v>1244.0101092676514</v>
      </c>
    </row>
    <row r="109" spans="1:4" ht="20" customHeight="1" x14ac:dyDescent="0.15">
      <c r="A109" s="67"/>
      <c r="B109" s="51">
        <f t="shared" si="11"/>
        <v>18</v>
      </c>
      <c r="C109" s="65">
        <f t="shared" si="12"/>
        <v>885.694824245326</v>
      </c>
      <c r="D109" s="64">
        <f t="shared" si="13"/>
        <v>1231.5700081749749</v>
      </c>
    </row>
    <row r="110" spans="1:4" ht="20" customHeight="1" x14ac:dyDescent="0.15">
      <c r="A110" s="67"/>
      <c r="B110" s="51">
        <f t="shared" si="11"/>
        <v>19</v>
      </c>
      <c r="C110" s="65">
        <f t="shared" si="12"/>
        <v>876.83787600287269</v>
      </c>
      <c r="D110" s="64">
        <f t="shared" si="13"/>
        <v>1219.2543080932251</v>
      </c>
    </row>
    <row r="111" spans="1:4" ht="20" customHeight="1" x14ac:dyDescent="0.15">
      <c r="A111" s="67"/>
      <c r="B111" s="51">
        <f t="shared" si="11"/>
        <v>20</v>
      </c>
      <c r="C111" s="65">
        <f t="shared" si="12"/>
        <v>868.06949724284391</v>
      </c>
      <c r="D111" s="64">
        <f t="shared" si="13"/>
        <v>1207.0617650122929</v>
      </c>
    </row>
  </sheetData>
  <mergeCells count="6">
    <mergeCell ref="A1:D1"/>
    <mergeCell ref="A71:A90"/>
    <mergeCell ref="A92:A111"/>
    <mergeCell ref="A50:A69"/>
    <mergeCell ref="A8:A27"/>
    <mergeCell ref="A29:A48"/>
  </mergeCells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27"/>
  <sheetViews>
    <sheetView showGridLines="0" workbookViewId="0">
      <pane xSplit="2" ySplit="2" topLeftCell="C3" activePane="bottomRight" state="frozen"/>
      <selection pane="topRight"/>
      <selection pane="bottomLeft"/>
      <selection pane="bottomRight" activeCell="C3" sqref="C3"/>
    </sheetView>
  </sheetViews>
  <sheetFormatPr baseColWidth="10" defaultColWidth="16.33203125" defaultRowHeight="20" customHeight="1" x14ac:dyDescent="0.15"/>
  <cols>
    <col min="1" max="1" width="31.6640625" style="52" customWidth="1"/>
    <col min="2" max="2" width="11.33203125" style="52" customWidth="1"/>
    <col min="3" max="4" width="16.5" style="52" customWidth="1"/>
    <col min="5" max="5" width="16.33203125" style="52" customWidth="1"/>
    <col min="6" max="16384" width="16.33203125" style="52"/>
  </cols>
  <sheetData>
    <row r="1" spans="1:4" ht="27.75" customHeight="1" x14ac:dyDescent="0.15">
      <c r="A1" s="69" t="s">
        <v>58</v>
      </c>
      <c r="B1" s="69"/>
      <c r="C1" s="69"/>
      <c r="D1" s="69"/>
    </row>
    <row r="2" spans="1:4" ht="20.25" customHeight="1" x14ac:dyDescent="0.15">
      <c r="A2" s="2"/>
      <c r="B2" s="2"/>
      <c r="C2" s="3" t="str">
        <f>'Anlagen Spezifikation'!C$2</f>
        <v>9,75kWp</v>
      </c>
      <c r="D2" s="3" t="str">
        <f>'Anlagen Spezifikation'!D$2</f>
        <v>12,76kWp</v>
      </c>
    </row>
    <row r="3" spans="1:4" ht="20.25" customHeight="1" x14ac:dyDescent="0.15">
      <c r="A3" s="70" t="str">
        <f>'Anlagen Spezifikation'!$B14</f>
        <v>Invest (in €)</v>
      </c>
      <c r="B3" s="73"/>
      <c r="C3" s="53">
        <f>'Anlagen Spezifikation'!C14</f>
        <v>18525</v>
      </c>
      <c r="D3" s="54">
        <f>'Anlagen Spezifikation'!D14</f>
        <v>26460</v>
      </c>
    </row>
    <row r="4" spans="1:4" ht="20" customHeight="1" x14ac:dyDescent="0.15">
      <c r="A4" s="66" t="str">
        <f>"Netto Cashflow (NPV) "&amp;'Anlagen Spezifikation'!C23&amp;" Jahren (in €)"</f>
        <v>Netto Cashflow (NPV) 20 Jahren (in €)</v>
      </c>
      <c r="B4" s="72"/>
      <c r="C4" s="40">
        <f>C5+C3</f>
        <v>24793.368322040275</v>
      </c>
      <c r="D4" s="41">
        <f>D5+D3</f>
        <v>34238.595095156423</v>
      </c>
    </row>
    <row r="5" spans="1:4" ht="20" customHeight="1" x14ac:dyDescent="0.15">
      <c r="A5" s="66" t="s">
        <v>44</v>
      </c>
      <c r="B5" s="72"/>
      <c r="C5" s="40">
        <f>SUM(C8:C27)</f>
        <v>6268.3683220402754</v>
      </c>
      <c r="D5" s="41">
        <f>SUM(D8:D27)</f>
        <v>7778.5950951564218</v>
      </c>
    </row>
    <row r="6" spans="1:4" ht="20" customHeight="1" x14ac:dyDescent="0.15">
      <c r="A6" s="7"/>
      <c r="B6" s="55"/>
      <c r="C6" s="45"/>
      <c r="D6" s="46"/>
    </row>
    <row r="7" spans="1:4" ht="20" customHeight="1" x14ac:dyDescent="0.15">
      <c r="A7" s="7"/>
      <c r="B7" s="56" t="s">
        <v>48</v>
      </c>
      <c r="C7" s="45"/>
      <c r="D7" s="46"/>
    </row>
    <row r="8" spans="1:4" ht="20" customHeight="1" x14ac:dyDescent="0.15">
      <c r="A8" s="66" t="s">
        <v>59</v>
      </c>
      <c r="B8" s="51">
        <v>1</v>
      </c>
      <c r="C8" s="40">
        <f>NPV!C8-C3</f>
        <v>-16977.440175428572</v>
      </c>
      <c r="D8" s="41">
        <f>NPV!D8-D3</f>
        <v>-24327.163032765715</v>
      </c>
    </row>
    <row r="9" spans="1:4" ht="20" customHeight="1" x14ac:dyDescent="0.15">
      <c r="A9" s="67"/>
      <c r="B9" s="51">
        <v>2</v>
      </c>
      <c r="C9" s="40">
        <f>NPV!C9</f>
        <v>1507.2204724889796</v>
      </c>
      <c r="D9" s="41">
        <f>NPV!D9</f>
        <v>2077.7446982349766</v>
      </c>
    </row>
    <row r="10" spans="1:4" ht="20" customHeight="1" x14ac:dyDescent="0.15">
      <c r="A10" s="67"/>
      <c r="B10" s="51">
        <v>3</v>
      </c>
      <c r="C10" s="40">
        <f>NPV!C10</f>
        <v>1468.468502205295</v>
      </c>
      <c r="D10" s="41">
        <f>NPV!D10</f>
        <v>2024.8111566555162</v>
      </c>
    </row>
    <row r="11" spans="1:4" ht="20" customHeight="1" x14ac:dyDescent="0.15">
      <c r="A11" s="67"/>
      <c r="B11" s="51">
        <v>4</v>
      </c>
      <c r="C11" s="40">
        <f>NPV!C11</f>
        <v>1431.2316595081991</v>
      </c>
      <c r="D11" s="41">
        <f>NPV!D11</f>
        <v>1973.9381930917127</v>
      </c>
    </row>
    <row r="12" spans="1:4" ht="20" customHeight="1" x14ac:dyDescent="0.15">
      <c r="A12" s="67"/>
      <c r="B12" s="51">
        <v>5</v>
      </c>
      <c r="C12" s="40">
        <f>NPV!C12</f>
        <v>1395.4410975083144</v>
      </c>
      <c r="D12" s="41">
        <f>NPV!D12</f>
        <v>1925.0322854491308</v>
      </c>
    </row>
    <row r="13" spans="1:4" ht="20" customHeight="1" x14ac:dyDescent="0.15">
      <c r="A13" s="67"/>
      <c r="B13" s="51">
        <v>6</v>
      </c>
      <c r="C13" s="40">
        <f>NPV!C13</f>
        <v>1361.0312147191335</v>
      </c>
      <c r="D13" s="41">
        <f>NPV!D13</f>
        <v>1878.0043190597205</v>
      </c>
    </row>
    <row r="14" spans="1:4" ht="20" customHeight="1" x14ac:dyDescent="0.15">
      <c r="A14" s="67"/>
      <c r="B14" s="51">
        <v>7</v>
      </c>
      <c r="C14" s="40">
        <f>NPV!C14</f>
        <v>1327.9395008442298</v>
      </c>
      <c r="D14" s="41">
        <f>NPV!D14</f>
        <v>1832.7693772644388</v>
      </c>
    </row>
    <row r="15" spans="1:4" ht="20" customHeight="1" x14ac:dyDescent="0.15">
      <c r="A15" s="67"/>
      <c r="B15" s="51">
        <v>8</v>
      </c>
      <c r="C15" s="40">
        <f>NPV!C15</f>
        <v>1296.106389904633</v>
      </c>
      <c r="D15" s="41">
        <f>NPV!D15</f>
        <v>1789.2465419635232</v>
      </c>
    </row>
    <row r="16" spans="1:4" ht="20" customHeight="1" x14ac:dyDescent="0.15">
      <c r="A16" s="67"/>
      <c r="B16" s="51">
        <v>9</v>
      </c>
      <c r="C16" s="40">
        <f>NPV!C16</f>
        <v>1265.4751203568683</v>
      </c>
      <c r="D16" s="41">
        <f>NPV!D16</f>
        <v>1747.3587036598201</v>
      </c>
    </row>
    <row r="17" spans="1:4" ht="20" customHeight="1" x14ac:dyDescent="0.15">
      <c r="A17" s="67"/>
      <c r="B17" s="51">
        <v>10</v>
      </c>
      <c r="C17" s="40">
        <f>NPV!C17</f>
        <v>1235.9916018688057</v>
      </c>
      <c r="D17" s="41">
        <f>NPV!D17</f>
        <v>1707.0323805431576</v>
      </c>
    </row>
    <row r="18" spans="1:4" ht="20" customHeight="1" x14ac:dyDescent="0.15">
      <c r="A18" s="67"/>
      <c r="B18" s="51">
        <v>11</v>
      </c>
      <c r="C18" s="40">
        <f>NPV!C18</f>
        <v>1207.6042884363139</v>
      </c>
      <c r="D18" s="41">
        <f>NPV!D18</f>
        <v>1668.1975461852837</v>
      </c>
    </row>
    <row r="19" spans="1:4" ht="20" customHeight="1" x14ac:dyDescent="0.15">
      <c r="A19" s="67"/>
      <c r="B19" s="51">
        <v>12</v>
      </c>
      <c r="C19" s="40">
        <f>NPV!C19</f>
        <v>1180.2640575388045</v>
      </c>
      <c r="D19" s="41">
        <f>NPV!D19</f>
        <v>1630.7874654353905</v>
      </c>
    </row>
    <row r="20" spans="1:4" ht="20" customHeight="1" x14ac:dyDescent="0.15">
      <c r="A20" s="67"/>
      <c r="B20" s="51">
        <v>13</v>
      </c>
      <c r="C20" s="40">
        <f>NPV!C20</f>
        <v>1153.9240950461342</v>
      </c>
      <c r="D20" s="41">
        <f>NPV!D20</f>
        <v>1594.73853812576</v>
      </c>
    </row>
    <row r="21" spans="1:4" ht="20" customHeight="1" x14ac:dyDescent="0.15">
      <c r="A21" s="67"/>
      <c r="B21" s="51">
        <v>14</v>
      </c>
      <c r="C21" s="40">
        <f>NPV!C21</f>
        <v>1128.5397856030231</v>
      </c>
      <c r="D21" s="41">
        <f>NPV!D21</f>
        <v>1559.9901502156677</v>
      </c>
    </row>
    <row r="22" spans="1:4" ht="20" customHeight="1" x14ac:dyDescent="0.15">
      <c r="A22" s="67"/>
      <c r="B22" s="51">
        <v>15</v>
      </c>
      <c r="C22" s="40">
        <f>NPV!C22</f>
        <v>1104.0686082301836</v>
      </c>
      <c r="D22" s="41">
        <f>NPV!D22</f>
        <v>1526.4845320193826</v>
      </c>
    </row>
    <row r="23" spans="1:4" ht="20" customHeight="1" x14ac:dyDescent="0.15">
      <c r="A23" s="67"/>
      <c r="B23" s="51">
        <v>16</v>
      </c>
      <c r="C23" s="40">
        <f>NPV!C23</f>
        <v>1080.4700368937777</v>
      </c>
      <c r="D23" s="41">
        <f>NPV!D23</f>
        <v>1494.1666231809713</v>
      </c>
    </row>
    <row r="24" spans="1:4" ht="20" customHeight="1" x14ac:dyDescent="0.15">
      <c r="A24" s="67"/>
      <c r="B24" s="51">
        <v>17</v>
      </c>
      <c r="C24" s="40">
        <f>NPV!C24</f>
        <v>1057.7054458066455</v>
      </c>
      <c r="D24" s="41">
        <f>NPV!D24</f>
        <v>1462.9839440746687</v>
      </c>
    </row>
    <row r="25" spans="1:4" ht="20" customHeight="1" x14ac:dyDescent="0.15">
      <c r="A25" s="67"/>
      <c r="B25" s="51">
        <v>18</v>
      </c>
      <c r="C25" s="40">
        <f>NPV!C25</f>
        <v>1035.7380192360129</v>
      </c>
      <c r="D25" s="41">
        <f>NPV!D25</f>
        <v>1432.8864733248813</v>
      </c>
    </row>
    <row r="26" spans="1:4" ht="20" customHeight="1" x14ac:dyDescent="0.15">
      <c r="A26" s="67"/>
      <c r="B26" s="51">
        <v>19</v>
      </c>
      <c r="C26" s="40">
        <f>NPV!C26</f>
        <v>1014.5326656031136</v>
      </c>
      <c r="D26" s="41">
        <f>NPV!D26</f>
        <v>1403.8265311544505</v>
      </c>
    </row>
    <row r="27" spans="1:4" ht="20" customHeight="1" x14ac:dyDescent="0.15">
      <c r="A27" s="67"/>
      <c r="B27" s="51">
        <v>20</v>
      </c>
      <c r="C27" s="40">
        <f>NPV!C27</f>
        <v>994.05593567037863</v>
      </c>
      <c r="D27" s="41">
        <f>NPV!D27</f>
        <v>1375.7586682836854</v>
      </c>
    </row>
  </sheetData>
  <mergeCells count="5">
    <mergeCell ref="A1:D1"/>
    <mergeCell ref="A8:A27"/>
    <mergeCell ref="A4:B4"/>
    <mergeCell ref="A3:B3"/>
    <mergeCell ref="A5:B5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47"/>
  <sheetViews>
    <sheetView showGridLines="0" workbookViewId="0">
      <pane xSplit="2" ySplit="2" topLeftCell="C3" activePane="bottomRight" state="frozen"/>
      <selection pane="topRight"/>
      <selection pane="bottomLeft"/>
      <selection pane="bottomRight" activeCell="C3" sqref="C3"/>
    </sheetView>
  </sheetViews>
  <sheetFormatPr baseColWidth="10" defaultColWidth="16.33203125" defaultRowHeight="20" customHeight="1" x14ac:dyDescent="0.15"/>
  <cols>
    <col min="1" max="1" width="31.6640625" style="57" customWidth="1"/>
    <col min="2" max="2" width="7.83203125" style="57" customWidth="1"/>
    <col min="3" max="4" width="16.5" style="57" customWidth="1"/>
    <col min="5" max="5" width="16.33203125" style="57" customWidth="1"/>
    <col min="6" max="16384" width="16.33203125" style="57"/>
  </cols>
  <sheetData>
    <row r="1" spans="1:4" ht="27.75" customHeight="1" x14ac:dyDescent="0.15">
      <c r="A1" s="69" t="s">
        <v>60</v>
      </c>
      <c r="B1" s="69"/>
      <c r="C1" s="69"/>
      <c r="D1" s="69"/>
    </row>
    <row r="2" spans="1:4" ht="20.25" customHeight="1" x14ac:dyDescent="0.15">
      <c r="A2" s="2"/>
      <c r="B2" s="3" t="s">
        <v>48</v>
      </c>
      <c r="C2" s="3" t="str">
        <f>'Anlagen Spezifikation'!C$2</f>
        <v>9,75kWp</v>
      </c>
      <c r="D2" s="3" t="str">
        <f>'Anlagen Spezifikation'!D$2</f>
        <v>12,76kWp</v>
      </c>
    </row>
    <row r="3" spans="1:4" ht="20.25" customHeight="1" x14ac:dyDescent="0.15">
      <c r="A3" s="70" t="str">
        <f>'Anlagen Spezifikation'!$B14</f>
        <v>Invest (in €)</v>
      </c>
      <c r="B3" s="73"/>
      <c r="C3" s="53">
        <f>'Anlagen Spezifikation'!C14</f>
        <v>18525</v>
      </c>
      <c r="D3" s="54">
        <f>'Anlagen Spezifikation'!D14</f>
        <v>26460</v>
      </c>
    </row>
    <row r="4" spans="1:4" ht="20" customHeight="1" x14ac:dyDescent="0.15">
      <c r="A4" s="66" t="str">
        <f>"Barwert (NPV) "&amp;'Anlagen Spezifikation'!C23&amp;" Jahren (in €)"</f>
        <v>Barwert (NPV) 20 Jahren (in €)</v>
      </c>
      <c r="B4" s="72"/>
      <c r="C4" s="40">
        <f>SUM(NPV!C8:C27)-'Anlagen Spezifikation'!C14</f>
        <v>6268.3683220402781</v>
      </c>
      <c r="D4" s="41">
        <f>SUM(NPV!D8:D27)-'Anlagen Spezifikation'!D14</f>
        <v>7778.5950951564228</v>
      </c>
    </row>
    <row r="5" spans="1:4" ht="20" customHeight="1" x14ac:dyDescent="0.15">
      <c r="A5" s="66" t="s">
        <v>45</v>
      </c>
      <c r="B5" s="72"/>
      <c r="C5" s="40">
        <f>'Anlagen Spezifikation'!C23-SUM(C28:C47)+1</f>
        <v>15</v>
      </c>
      <c r="D5" s="41">
        <f>'Anlagen Spezifikation'!D23-SUM(D28:D47)+1</f>
        <v>15</v>
      </c>
    </row>
    <row r="6" spans="1:4" ht="20" customHeight="1" x14ac:dyDescent="0.15">
      <c r="A6" s="7"/>
      <c r="B6" s="44"/>
      <c r="C6" s="40"/>
      <c r="D6" s="41"/>
    </row>
    <row r="7" spans="1:4" ht="20" customHeight="1" x14ac:dyDescent="0.15">
      <c r="A7" s="66" t="s">
        <v>61</v>
      </c>
      <c r="B7" s="51">
        <f>1</f>
        <v>1</v>
      </c>
      <c r="C7" s="40">
        <f>NPV!C8-C3</f>
        <v>-16977.440175428572</v>
      </c>
      <c r="D7" s="41">
        <f>NPV!D8-D3</f>
        <v>-24327.163032765715</v>
      </c>
    </row>
    <row r="8" spans="1:4" ht="20" customHeight="1" x14ac:dyDescent="0.15">
      <c r="A8" s="67"/>
      <c r="B8" s="51">
        <f t="shared" ref="B8:B26" si="0">$B7+1</f>
        <v>2</v>
      </c>
      <c r="C8" s="40">
        <f>C7+NPV!C9</f>
        <v>-15470.219702939592</v>
      </c>
      <c r="D8" s="41">
        <f>D7+NPV!D9</f>
        <v>-22249.418334530739</v>
      </c>
    </row>
    <row r="9" spans="1:4" ht="20" customHeight="1" x14ac:dyDescent="0.15">
      <c r="A9" s="67"/>
      <c r="B9" s="51">
        <f t="shared" si="0"/>
        <v>3</v>
      </c>
      <c r="C9" s="40">
        <f>C8+NPV!C10</f>
        <v>-14001.751200734298</v>
      </c>
      <c r="D9" s="41">
        <f>D8+NPV!D10</f>
        <v>-20224.607177875223</v>
      </c>
    </row>
    <row r="10" spans="1:4" ht="20" customHeight="1" x14ac:dyDescent="0.15">
      <c r="A10" s="67"/>
      <c r="B10" s="51">
        <f t="shared" si="0"/>
        <v>4</v>
      </c>
      <c r="C10" s="40">
        <f>C9+NPV!C11</f>
        <v>-12570.519541226098</v>
      </c>
      <c r="D10" s="41">
        <f>D9+NPV!D11</f>
        <v>-18250.668984783511</v>
      </c>
    </row>
    <row r="11" spans="1:4" ht="20" customHeight="1" x14ac:dyDescent="0.15">
      <c r="A11" s="67"/>
      <c r="B11" s="51">
        <f t="shared" si="0"/>
        <v>5</v>
      </c>
      <c r="C11" s="40">
        <f>C10+NPV!C12</f>
        <v>-11175.078443717784</v>
      </c>
      <c r="D11" s="41">
        <f>D10+NPV!D12</f>
        <v>-16325.63669933438</v>
      </c>
    </row>
    <row r="12" spans="1:4" ht="20" customHeight="1" x14ac:dyDescent="0.15">
      <c r="A12" s="67"/>
      <c r="B12" s="51">
        <f t="shared" si="0"/>
        <v>6</v>
      </c>
      <c r="C12" s="40">
        <f>C11+NPV!C13</f>
        <v>-9814.0472289986501</v>
      </c>
      <c r="D12" s="41">
        <f>D11+NPV!D13</f>
        <v>-14447.632380274659</v>
      </c>
    </row>
    <row r="13" spans="1:4" ht="20" customHeight="1" x14ac:dyDescent="0.15">
      <c r="A13" s="67"/>
      <c r="B13" s="51">
        <f t="shared" si="0"/>
        <v>7</v>
      </c>
      <c r="C13" s="40">
        <f>C12+NPV!C14</f>
        <v>-8486.1077281544203</v>
      </c>
      <c r="D13" s="41">
        <f>D12+NPV!D14</f>
        <v>-12614.863003010221</v>
      </c>
    </row>
    <row r="14" spans="1:4" ht="20" customHeight="1" x14ac:dyDescent="0.15">
      <c r="A14" s="67"/>
      <c r="B14" s="51">
        <f t="shared" si="0"/>
        <v>8</v>
      </c>
      <c r="C14" s="40">
        <f>C13+NPV!C15</f>
        <v>-7190.0013382497873</v>
      </c>
      <c r="D14" s="41">
        <f>D13+NPV!D15</f>
        <v>-10825.616461046699</v>
      </c>
    </row>
    <row r="15" spans="1:4" ht="20" customHeight="1" x14ac:dyDescent="0.15">
      <c r="A15" s="67"/>
      <c r="B15" s="51">
        <f t="shared" si="0"/>
        <v>9</v>
      </c>
      <c r="C15" s="40">
        <f>C14+NPV!C16</f>
        <v>-5924.5262178929188</v>
      </c>
      <c r="D15" s="41">
        <f>D14+NPV!D16</f>
        <v>-9078.2577573868784</v>
      </c>
    </row>
    <row r="16" spans="1:4" ht="20" customHeight="1" x14ac:dyDescent="0.15">
      <c r="A16" s="67"/>
      <c r="B16" s="51">
        <f t="shared" si="0"/>
        <v>10</v>
      </c>
      <c r="C16" s="40">
        <f>C15+NPV!C17</f>
        <v>-4688.5346160241133</v>
      </c>
      <c r="D16" s="41">
        <f>D15+NPV!D17</f>
        <v>-7371.2253768437204</v>
      </c>
    </row>
    <row r="17" spans="1:4" ht="20" customHeight="1" x14ac:dyDescent="0.15">
      <c r="A17" s="67"/>
      <c r="B17" s="51">
        <f t="shared" si="0"/>
        <v>11</v>
      </c>
      <c r="C17" s="40">
        <f>C16+NPV!C18</f>
        <v>-3480.9303275877992</v>
      </c>
      <c r="D17" s="41">
        <f>D16+NPV!D18</f>
        <v>-5703.0278306584369</v>
      </c>
    </row>
    <row r="18" spans="1:4" ht="20" customHeight="1" x14ac:dyDescent="0.15">
      <c r="A18" s="67"/>
      <c r="B18" s="51">
        <f t="shared" si="0"/>
        <v>12</v>
      </c>
      <c r="C18" s="40">
        <f>C17+NPV!C19</f>
        <v>-2300.6662700489946</v>
      </c>
      <c r="D18" s="41">
        <f>D17+NPV!D19</f>
        <v>-4072.2403652230464</v>
      </c>
    </row>
    <row r="19" spans="1:4" ht="20" customHeight="1" x14ac:dyDescent="0.15">
      <c r="A19" s="67"/>
      <c r="B19" s="51">
        <f t="shared" si="0"/>
        <v>13</v>
      </c>
      <c r="C19" s="40">
        <f>C18+NPV!C20</f>
        <v>-1146.7421750028604</v>
      </c>
      <c r="D19" s="41">
        <f>D18+NPV!D20</f>
        <v>-2477.5018270972864</v>
      </c>
    </row>
    <row r="20" spans="1:4" ht="20" customHeight="1" x14ac:dyDescent="0.15">
      <c r="A20" s="67"/>
      <c r="B20" s="51">
        <f t="shared" si="0"/>
        <v>14</v>
      </c>
      <c r="C20" s="40">
        <f>C19+NPV!C21</f>
        <v>-18.20238939983733</v>
      </c>
      <c r="D20" s="41">
        <f>D19+NPV!D21</f>
        <v>-917.51167688161877</v>
      </c>
    </row>
    <row r="21" spans="1:4" ht="20" customHeight="1" x14ac:dyDescent="0.15">
      <c r="A21" s="67"/>
      <c r="B21" s="51">
        <f t="shared" si="0"/>
        <v>15</v>
      </c>
      <c r="C21" s="40">
        <f>C20+NPV!C22</f>
        <v>1085.8662188303463</v>
      </c>
      <c r="D21" s="41">
        <f>D20+NPV!D22</f>
        <v>608.97285513776387</v>
      </c>
    </row>
    <row r="22" spans="1:4" ht="20" customHeight="1" x14ac:dyDescent="0.15">
      <c r="A22" s="67"/>
      <c r="B22" s="51">
        <f t="shared" si="0"/>
        <v>16</v>
      </c>
      <c r="C22" s="40">
        <f>C21+NPV!C23</f>
        <v>2166.3362557241239</v>
      </c>
      <c r="D22" s="41">
        <f>D21+NPV!D23</f>
        <v>2103.1394783187352</v>
      </c>
    </row>
    <row r="23" spans="1:4" ht="20" customHeight="1" x14ac:dyDescent="0.15">
      <c r="A23" s="67"/>
      <c r="B23" s="51">
        <f t="shared" si="0"/>
        <v>17</v>
      </c>
      <c r="C23" s="40">
        <f>C22+NPV!C24</f>
        <v>3224.0417015307694</v>
      </c>
      <c r="D23" s="41">
        <f>D22+NPV!D24</f>
        <v>3566.1234223934039</v>
      </c>
    </row>
    <row r="24" spans="1:4" ht="20" customHeight="1" x14ac:dyDescent="0.15">
      <c r="A24" s="67"/>
      <c r="B24" s="51">
        <f t="shared" si="0"/>
        <v>18</v>
      </c>
      <c r="C24" s="40">
        <f>C23+NPV!C25</f>
        <v>4259.7797207667827</v>
      </c>
      <c r="D24" s="41">
        <f>D23+NPV!D25</f>
        <v>4999.0098957182854</v>
      </c>
    </row>
    <row r="25" spans="1:4" ht="20" customHeight="1" x14ac:dyDescent="0.15">
      <c r="A25" s="67"/>
      <c r="B25" s="51">
        <f t="shared" si="0"/>
        <v>19</v>
      </c>
      <c r="C25" s="40">
        <f>C24+NPV!C26</f>
        <v>5274.3123863698966</v>
      </c>
      <c r="D25" s="41">
        <f>D24+NPV!D26</f>
        <v>6402.8364268727364</v>
      </c>
    </row>
    <row r="26" spans="1:4" ht="20" customHeight="1" x14ac:dyDescent="0.15">
      <c r="A26" s="67"/>
      <c r="B26" s="51">
        <f t="shared" si="0"/>
        <v>20</v>
      </c>
      <c r="C26" s="40">
        <f>C25+NPV!C27</f>
        <v>6268.3683220402754</v>
      </c>
      <c r="D26" s="41">
        <f>D25+NPV!D27</f>
        <v>7778.5950951564218</v>
      </c>
    </row>
    <row r="27" spans="1:4" ht="20" customHeight="1" x14ac:dyDescent="0.15">
      <c r="A27" s="7"/>
      <c r="B27" s="44"/>
      <c r="C27" s="45"/>
      <c r="D27" s="46"/>
    </row>
    <row r="28" spans="1:4" ht="20" customHeight="1" x14ac:dyDescent="0.15">
      <c r="A28" s="66" t="s">
        <v>62</v>
      </c>
      <c r="B28" s="51">
        <v>1</v>
      </c>
      <c r="C28" s="38">
        <f t="shared" ref="C28:D47" si="1">IF(C7&gt;0,1,0)</f>
        <v>0</v>
      </c>
      <c r="D28" s="39">
        <f t="shared" si="1"/>
        <v>0</v>
      </c>
    </row>
    <row r="29" spans="1:4" ht="20" customHeight="1" x14ac:dyDescent="0.15">
      <c r="A29" s="67"/>
      <c r="B29" s="51">
        <f t="shared" ref="B29:B47" si="2">$B28+1</f>
        <v>2</v>
      </c>
      <c r="C29" s="38">
        <f t="shared" si="1"/>
        <v>0</v>
      </c>
      <c r="D29" s="39">
        <f t="shared" si="1"/>
        <v>0</v>
      </c>
    </row>
    <row r="30" spans="1:4" ht="20" customHeight="1" x14ac:dyDescent="0.15">
      <c r="A30" s="67"/>
      <c r="B30" s="51">
        <f t="shared" si="2"/>
        <v>3</v>
      </c>
      <c r="C30" s="38">
        <f t="shared" si="1"/>
        <v>0</v>
      </c>
      <c r="D30" s="39">
        <f t="shared" si="1"/>
        <v>0</v>
      </c>
    </row>
    <row r="31" spans="1:4" ht="20" customHeight="1" x14ac:dyDescent="0.15">
      <c r="A31" s="67"/>
      <c r="B31" s="51">
        <f t="shared" si="2"/>
        <v>4</v>
      </c>
      <c r="C31" s="38">
        <f t="shared" si="1"/>
        <v>0</v>
      </c>
      <c r="D31" s="39">
        <f t="shared" si="1"/>
        <v>0</v>
      </c>
    </row>
    <row r="32" spans="1:4" ht="20" customHeight="1" x14ac:dyDescent="0.15">
      <c r="A32" s="67"/>
      <c r="B32" s="51">
        <f t="shared" si="2"/>
        <v>5</v>
      </c>
      <c r="C32" s="38">
        <f t="shared" si="1"/>
        <v>0</v>
      </c>
      <c r="D32" s="39">
        <f t="shared" si="1"/>
        <v>0</v>
      </c>
    </row>
    <row r="33" spans="1:4" ht="20" customHeight="1" x14ac:dyDescent="0.15">
      <c r="A33" s="67"/>
      <c r="B33" s="51">
        <f t="shared" si="2"/>
        <v>6</v>
      </c>
      <c r="C33" s="38">
        <f t="shared" si="1"/>
        <v>0</v>
      </c>
      <c r="D33" s="39">
        <f t="shared" si="1"/>
        <v>0</v>
      </c>
    </row>
    <row r="34" spans="1:4" ht="20" customHeight="1" x14ac:dyDescent="0.15">
      <c r="A34" s="67"/>
      <c r="B34" s="51">
        <f t="shared" si="2"/>
        <v>7</v>
      </c>
      <c r="C34" s="38">
        <f t="shared" si="1"/>
        <v>0</v>
      </c>
      <c r="D34" s="39">
        <f t="shared" si="1"/>
        <v>0</v>
      </c>
    </row>
    <row r="35" spans="1:4" ht="20" customHeight="1" x14ac:dyDescent="0.15">
      <c r="A35" s="67"/>
      <c r="B35" s="51">
        <f t="shared" si="2"/>
        <v>8</v>
      </c>
      <c r="C35" s="38">
        <f t="shared" si="1"/>
        <v>0</v>
      </c>
      <c r="D35" s="39">
        <f t="shared" si="1"/>
        <v>0</v>
      </c>
    </row>
    <row r="36" spans="1:4" ht="20" customHeight="1" x14ac:dyDescent="0.15">
      <c r="A36" s="67"/>
      <c r="B36" s="51">
        <f t="shared" si="2"/>
        <v>9</v>
      </c>
      <c r="C36" s="38">
        <f t="shared" si="1"/>
        <v>0</v>
      </c>
      <c r="D36" s="39">
        <f t="shared" si="1"/>
        <v>0</v>
      </c>
    </row>
    <row r="37" spans="1:4" ht="20" customHeight="1" x14ac:dyDescent="0.15">
      <c r="A37" s="67"/>
      <c r="B37" s="51">
        <f t="shared" si="2"/>
        <v>10</v>
      </c>
      <c r="C37" s="38">
        <f t="shared" si="1"/>
        <v>0</v>
      </c>
      <c r="D37" s="39">
        <f t="shared" si="1"/>
        <v>0</v>
      </c>
    </row>
    <row r="38" spans="1:4" ht="20" customHeight="1" x14ac:dyDescent="0.15">
      <c r="A38" s="67"/>
      <c r="B38" s="51">
        <f t="shared" si="2"/>
        <v>11</v>
      </c>
      <c r="C38" s="38">
        <f t="shared" si="1"/>
        <v>0</v>
      </c>
      <c r="D38" s="39">
        <f t="shared" si="1"/>
        <v>0</v>
      </c>
    </row>
    <row r="39" spans="1:4" ht="20" customHeight="1" x14ac:dyDescent="0.15">
      <c r="A39" s="67"/>
      <c r="B39" s="51">
        <f t="shared" si="2"/>
        <v>12</v>
      </c>
      <c r="C39" s="38">
        <f t="shared" si="1"/>
        <v>0</v>
      </c>
      <c r="D39" s="39">
        <f t="shared" si="1"/>
        <v>0</v>
      </c>
    </row>
    <row r="40" spans="1:4" ht="20" customHeight="1" x14ac:dyDescent="0.15">
      <c r="A40" s="67"/>
      <c r="B40" s="51">
        <f t="shared" si="2"/>
        <v>13</v>
      </c>
      <c r="C40" s="38">
        <f t="shared" si="1"/>
        <v>0</v>
      </c>
      <c r="D40" s="39">
        <f t="shared" si="1"/>
        <v>0</v>
      </c>
    </row>
    <row r="41" spans="1:4" ht="20" customHeight="1" x14ac:dyDescent="0.15">
      <c r="A41" s="67"/>
      <c r="B41" s="51">
        <f t="shared" si="2"/>
        <v>14</v>
      </c>
      <c r="C41" s="38">
        <f t="shared" si="1"/>
        <v>0</v>
      </c>
      <c r="D41" s="39">
        <f t="shared" si="1"/>
        <v>0</v>
      </c>
    </row>
    <row r="42" spans="1:4" ht="20" customHeight="1" x14ac:dyDescent="0.15">
      <c r="A42" s="67"/>
      <c r="B42" s="51">
        <f t="shared" si="2"/>
        <v>15</v>
      </c>
      <c r="C42" s="38">
        <f t="shared" si="1"/>
        <v>1</v>
      </c>
      <c r="D42" s="39">
        <f t="shared" si="1"/>
        <v>1</v>
      </c>
    </row>
    <row r="43" spans="1:4" ht="20" customHeight="1" x14ac:dyDescent="0.15">
      <c r="A43" s="67"/>
      <c r="B43" s="51">
        <f t="shared" si="2"/>
        <v>16</v>
      </c>
      <c r="C43" s="38">
        <f t="shared" si="1"/>
        <v>1</v>
      </c>
      <c r="D43" s="39">
        <f t="shared" si="1"/>
        <v>1</v>
      </c>
    </row>
    <row r="44" spans="1:4" ht="20" customHeight="1" x14ac:dyDescent="0.15">
      <c r="A44" s="67"/>
      <c r="B44" s="51">
        <f t="shared" si="2"/>
        <v>17</v>
      </c>
      <c r="C44" s="38">
        <f t="shared" si="1"/>
        <v>1</v>
      </c>
      <c r="D44" s="39">
        <f t="shared" si="1"/>
        <v>1</v>
      </c>
    </row>
    <row r="45" spans="1:4" ht="20" customHeight="1" x14ac:dyDescent="0.15">
      <c r="A45" s="67"/>
      <c r="B45" s="51">
        <f t="shared" si="2"/>
        <v>18</v>
      </c>
      <c r="C45" s="38">
        <f t="shared" si="1"/>
        <v>1</v>
      </c>
      <c r="D45" s="39">
        <f t="shared" si="1"/>
        <v>1</v>
      </c>
    </row>
    <row r="46" spans="1:4" ht="20" customHeight="1" x14ac:dyDescent="0.15">
      <c r="A46" s="67"/>
      <c r="B46" s="51">
        <f t="shared" si="2"/>
        <v>19</v>
      </c>
      <c r="C46" s="38">
        <f t="shared" si="1"/>
        <v>1</v>
      </c>
      <c r="D46" s="39">
        <f t="shared" si="1"/>
        <v>1</v>
      </c>
    </row>
    <row r="47" spans="1:4" ht="20" customHeight="1" x14ac:dyDescent="0.15">
      <c r="A47" s="67"/>
      <c r="B47" s="51">
        <f t="shared" si="2"/>
        <v>20</v>
      </c>
      <c r="C47" s="38">
        <f t="shared" si="1"/>
        <v>1</v>
      </c>
      <c r="D47" s="39">
        <f t="shared" si="1"/>
        <v>1</v>
      </c>
    </row>
  </sheetData>
  <mergeCells count="6">
    <mergeCell ref="A1:D1"/>
    <mergeCell ref="A7:A26"/>
    <mergeCell ref="A28:A47"/>
    <mergeCell ref="A4:B4"/>
    <mergeCell ref="A5:B5"/>
    <mergeCell ref="A3:B3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26"/>
  <sheetViews>
    <sheetView showGridLines="0" workbookViewId="0">
      <pane xSplit="2" ySplit="2" topLeftCell="C3" activePane="bottomRight" state="frozen"/>
      <selection pane="topRight"/>
      <selection pane="bottomLeft"/>
      <selection pane="bottomRight" activeCell="C3" sqref="C3"/>
    </sheetView>
  </sheetViews>
  <sheetFormatPr baseColWidth="10" defaultColWidth="16.33203125" defaultRowHeight="20" customHeight="1" x14ac:dyDescent="0.15"/>
  <cols>
    <col min="1" max="1" width="31.6640625" style="58" customWidth="1"/>
    <col min="2" max="2" width="11.33203125" style="58" customWidth="1"/>
    <col min="3" max="4" width="16.5" style="58" customWidth="1"/>
    <col min="5" max="5" width="16.33203125" style="58" customWidth="1"/>
    <col min="6" max="16384" width="16.33203125" style="58"/>
  </cols>
  <sheetData>
    <row r="1" spans="1:4" ht="27.75" customHeight="1" x14ac:dyDescent="0.15">
      <c r="A1" s="69" t="s">
        <v>63</v>
      </c>
      <c r="B1" s="69"/>
      <c r="C1" s="69"/>
      <c r="D1" s="69"/>
    </row>
    <row r="2" spans="1:4" ht="20.25" customHeight="1" x14ac:dyDescent="0.15">
      <c r="A2" s="2"/>
      <c r="B2" s="2"/>
      <c r="C2" s="3" t="str">
        <f>'Anlagen Spezifikation'!C$2</f>
        <v>9,75kWp</v>
      </c>
      <c r="D2" s="3" t="str">
        <f>'Anlagen Spezifikation'!D$2</f>
        <v>12,76kWp</v>
      </c>
    </row>
    <row r="3" spans="1:4" ht="20.25" customHeight="1" x14ac:dyDescent="0.15">
      <c r="A3" s="70" t="str">
        <f>'Anlagen Spezifikation'!$B14</f>
        <v>Invest (in €)</v>
      </c>
      <c r="B3" s="73"/>
      <c r="C3" s="53">
        <f>'Anlagen Spezifikation'!C14</f>
        <v>18525</v>
      </c>
      <c r="D3" s="54">
        <f>'Anlagen Spezifikation'!D14</f>
        <v>26460</v>
      </c>
    </row>
    <row r="4" spans="1:4" ht="20" customHeight="1" x14ac:dyDescent="0.15">
      <c r="A4" s="66" t="str">
        <f>"Kapitalwert nach "&amp;'Anlagen Spezifikation'!C23&amp;" Jahren (in €)"</f>
        <v>Kapitalwert nach 20 Jahren (in €)</v>
      </c>
      <c r="B4" s="72"/>
      <c r="C4" s="40">
        <f>SUM(C7:C26)</f>
        <v>6268.3683220402754</v>
      </c>
      <c r="D4" s="41">
        <f>SUM(D7:D26)</f>
        <v>7778.5950951564218</v>
      </c>
    </row>
    <row r="5" spans="1:4" ht="20" customHeight="1" x14ac:dyDescent="0.15">
      <c r="A5" s="66" t="s">
        <v>64</v>
      </c>
      <c r="B5" s="72"/>
      <c r="C5" s="47">
        <f>IRR(C7:C26)</f>
        <v>3.6439370882828781E-2</v>
      </c>
      <c r="D5" s="48">
        <f>IRR(D7:D26)</f>
        <v>3.184337460728992E-2</v>
      </c>
    </row>
    <row r="6" spans="1:4" ht="20" customHeight="1" x14ac:dyDescent="0.15">
      <c r="A6" s="7"/>
      <c r="B6" s="56" t="s">
        <v>48</v>
      </c>
      <c r="C6" s="45"/>
      <c r="D6" s="46"/>
    </row>
    <row r="7" spans="1:4" ht="20" customHeight="1" x14ac:dyDescent="0.15">
      <c r="A7" s="66" t="s">
        <v>59</v>
      </c>
      <c r="B7" s="51">
        <v>1</v>
      </c>
      <c r="C7" s="40">
        <f>-C3+NPV!C8</f>
        <v>-16977.440175428572</v>
      </c>
      <c r="D7" s="41">
        <f>-D3+NPV!D8</f>
        <v>-24327.163032765715</v>
      </c>
    </row>
    <row r="8" spans="1:4" ht="20" customHeight="1" x14ac:dyDescent="0.15">
      <c r="A8" s="67"/>
      <c r="B8" s="51">
        <v>2</v>
      </c>
      <c r="C8" s="40">
        <f>NPV!C9</f>
        <v>1507.2204724889796</v>
      </c>
      <c r="D8" s="41">
        <f>NPV!D9</f>
        <v>2077.7446982349766</v>
      </c>
    </row>
    <row r="9" spans="1:4" ht="20" customHeight="1" x14ac:dyDescent="0.15">
      <c r="A9" s="67"/>
      <c r="B9" s="51">
        <v>3</v>
      </c>
      <c r="C9" s="40">
        <f>NPV!C10</f>
        <v>1468.468502205295</v>
      </c>
      <c r="D9" s="41">
        <f>NPV!D10</f>
        <v>2024.8111566555162</v>
      </c>
    </row>
    <row r="10" spans="1:4" ht="20" customHeight="1" x14ac:dyDescent="0.15">
      <c r="A10" s="67"/>
      <c r="B10" s="51">
        <v>4</v>
      </c>
      <c r="C10" s="40">
        <f>NPV!C11</f>
        <v>1431.2316595081991</v>
      </c>
      <c r="D10" s="41">
        <f>NPV!D11</f>
        <v>1973.9381930917127</v>
      </c>
    </row>
    <row r="11" spans="1:4" ht="20" customHeight="1" x14ac:dyDescent="0.15">
      <c r="A11" s="67"/>
      <c r="B11" s="51">
        <v>5</v>
      </c>
      <c r="C11" s="40">
        <f>NPV!C12</f>
        <v>1395.4410975083144</v>
      </c>
      <c r="D11" s="41">
        <f>NPV!D12</f>
        <v>1925.0322854491308</v>
      </c>
    </row>
    <row r="12" spans="1:4" ht="20" customHeight="1" x14ac:dyDescent="0.15">
      <c r="A12" s="67"/>
      <c r="B12" s="51">
        <v>6</v>
      </c>
      <c r="C12" s="40">
        <f>NPV!C13</f>
        <v>1361.0312147191335</v>
      </c>
      <c r="D12" s="41">
        <f>NPV!D13</f>
        <v>1878.0043190597205</v>
      </c>
    </row>
    <row r="13" spans="1:4" ht="20" customHeight="1" x14ac:dyDescent="0.15">
      <c r="A13" s="67"/>
      <c r="B13" s="51">
        <v>7</v>
      </c>
      <c r="C13" s="40">
        <f>NPV!C14</f>
        <v>1327.9395008442298</v>
      </c>
      <c r="D13" s="41">
        <f>NPV!D14</f>
        <v>1832.7693772644388</v>
      </c>
    </row>
    <row r="14" spans="1:4" ht="20" customHeight="1" x14ac:dyDescent="0.15">
      <c r="A14" s="67"/>
      <c r="B14" s="51">
        <v>8</v>
      </c>
      <c r="C14" s="40">
        <f>NPV!C15</f>
        <v>1296.106389904633</v>
      </c>
      <c r="D14" s="41">
        <f>NPV!D15</f>
        <v>1789.2465419635232</v>
      </c>
    </row>
    <row r="15" spans="1:4" ht="20" customHeight="1" x14ac:dyDescent="0.15">
      <c r="A15" s="67"/>
      <c r="B15" s="51">
        <v>9</v>
      </c>
      <c r="C15" s="40">
        <f>NPV!C16</f>
        <v>1265.4751203568683</v>
      </c>
      <c r="D15" s="41">
        <f>NPV!D16</f>
        <v>1747.3587036598201</v>
      </c>
    </row>
    <row r="16" spans="1:4" ht="20" customHeight="1" x14ac:dyDescent="0.15">
      <c r="A16" s="67"/>
      <c r="B16" s="51">
        <v>10</v>
      </c>
      <c r="C16" s="40">
        <f>NPV!C17</f>
        <v>1235.9916018688057</v>
      </c>
      <c r="D16" s="41">
        <f>NPV!D17</f>
        <v>1707.0323805431576</v>
      </c>
    </row>
    <row r="17" spans="1:4" ht="20" customHeight="1" x14ac:dyDescent="0.15">
      <c r="A17" s="67"/>
      <c r="B17" s="51">
        <v>11</v>
      </c>
      <c r="C17" s="40">
        <f>NPV!C18</f>
        <v>1207.6042884363139</v>
      </c>
      <c r="D17" s="41">
        <f>NPV!D18</f>
        <v>1668.1975461852837</v>
      </c>
    </row>
    <row r="18" spans="1:4" ht="20" customHeight="1" x14ac:dyDescent="0.15">
      <c r="A18" s="67"/>
      <c r="B18" s="51">
        <v>12</v>
      </c>
      <c r="C18" s="40">
        <f>NPV!C19</f>
        <v>1180.2640575388045</v>
      </c>
      <c r="D18" s="41">
        <f>NPV!D19</f>
        <v>1630.7874654353905</v>
      </c>
    </row>
    <row r="19" spans="1:4" ht="20" customHeight="1" x14ac:dyDescent="0.15">
      <c r="A19" s="67"/>
      <c r="B19" s="51">
        <v>13</v>
      </c>
      <c r="C19" s="40">
        <f>NPV!C20</f>
        <v>1153.9240950461342</v>
      </c>
      <c r="D19" s="41">
        <f>NPV!D20</f>
        <v>1594.73853812576</v>
      </c>
    </row>
    <row r="20" spans="1:4" ht="20" customHeight="1" x14ac:dyDescent="0.15">
      <c r="A20" s="67"/>
      <c r="B20" s="51">
        <v>14</v>
      </c>
      <c r="C20" s="40">
        <f>NPV!C21</f>
        <v>1128.5397856030231</v>
      </c>
      <c r="D20" s="41">
        <f>NPV!D21</f>
        <v>1559.9901502156677</v>
      </c>
    </row>
    <row r="21" spans="1:4" ht="20" customHeight="1" x14ac:dyDescent="0.15">
      <c r="A21" s="67"/>
      <c r="B21" s="51">
        <v>15</v>
      </c>
      <c r="C21" s="40">
        <f>NPV!C22</f>
        <v>1104.0686082301836</v>
      </c>
      <c r="D21" s="41">
        <f>NPV!D22</f>
        <v>1526.4845320193826</v>
      </c>
    </row>
    <row r="22" spans="1:4" ht="20" customHeight="1" x14ac:dyDescent="0.15">
      <c r="A22" s="67"/>
      <c r="B22" s="51">
        <v>16</v>
      </c>
      <c r="C22" s="40">
        <f>NPV!C23</f>
        <v>1080.4700368937777</v>
      </c>
      <c r="D22" s="41">
        <f>NPV!D23</f>
        <v>1494.1666231809713</v>
      </c>
    </row>
    <row r="23" spans="1:4" ht="20" customHeight="1" x14ac:dyDescent="0.15">
      <c r="A23" s="67"/>
      <c r="B23" s="51">
        <v>17</v>
      </c>
      <c r="C23" s="40">
        <f>NPV!C24</f>
        <v>1057.7054458066455</v>
      </c>
      <c r="D23" s="41">
        <f>NPV!D24</f>
        <v>1462.9839440746687</v>
      </c>
    </row>
    <row r="24" spans="1:4" ht="20" customHeight="1" x14ac:dyDescent="0.15">
      <c r="A24" s="67"/>
      <c r="B24" s="51">
        <v>18</v>
      </c>
      <c r="C24" s="40">
        <f>NPV!C25</f>
        <v>1035.7380192360129</v>
      </c>
      <c r="D24" s="41">
        <f>NPV!D25</f>
        <v>1432.8864733248813</v>
      </c>
    </row>
    <row r="25" spans="1:4" ht="20" customHeight="1" x14ac:dyDescent="0.15">
      <c r="A25" s="67"/>
      <c r="B25" s="51">
        <v>19</v>
      </c>
      <c r="C25" s="40">
        <f>NPV!C26</f>
        <v>1014.5326656031136</v>
      </c>
      <c r="D25" s="41">
        <f>NPV!D26</f>
        <v>1403.8265311544505</v>
      </c>
    </row>
    <row r="26" spans="1:4" ht="20" customHeight="1" x14ac:dyDescent="0.15">
      <c r="A26" s="67"/>
      <c r="B26" s="51">
        <v>20</v>
      </c>
      <c r="C26" s="40">
        <f>NPV!C27</f>
        <v>994.05593567037863</v>
      </c>
      <c r="D26" s="41">
        <f>NPV!D27</f>
        <v>1375.7586682836854</v>
      </c>
    </row>
  </sheetData>
  <mergeCells count="5">
    <mergeCell ref="A1:D1"/>
    <mergeCell ref="A7:A26"/>
    <mergeCell ref="A4:B4"/>
    <mergeCell ref="A5:B5"/>
    <mergeCell ref="A3:B3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35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F28" sqref="F28"/>
    </sheetView>
  </sheetViews>
  <sheetFormatPr baseColWidth="10" defaultColWidth="16.33203125" defaultRowHeight="20" customHeight="1" x14ac:dyDescent="0.15"/>
  <cols>
    <col min="1" max="1" width="34" style="59" customWidth="1"/>
    <col min="2" max="4" width="16.33203125" style="59" customWidth="1"/>
    <col min="5" max="16384" width="16.33203125" style="59"/>
  </cols>
  <sheetData>
    <row r="1" spans="1:3" ht="27.75" customHeight="1" x14ac:dyDescent="0.15">
      <c r="A1" s="69" t="s">
        <v>65</v>
      </c>
      <c r="B1" s="69"/>
      <c r="C1" s="69"/>
    </row>
    <row r="2" spans="1:3" ht="20.25" customHeight="1" x14ac:dyDescent="0.15">
      <c r="A2" s="2"/>
      <c r="B2" s="3" t="str">
        <f>'Anlagen Spezifikation'!C$2</f>
        <v>9,75kWp</v>
      </c>
      <c r="C2" s="3" t="str">
        <f>'Anlagen Spezifikation'!D$2</f>
        <v>12,76kWp</v>
      </c>
    </row>
    <row r="3" spans="1:3" ht="20.25" customHeight="1" x14ac:dyDescent="0.15">
      <c r="A3" s="4" t="str">
        <f>Kennwerte!$A5</f>
        <v>Invest (in €)</v>
      </c>
      <c r="B3" s="53">
        <f>Kennwerte!B5</f>
        <v>18525</v>
      </c>
      <c r="C3" s="54">
        <f>Kennwerte!C5</f>
        <v>26460</v>
      </c>
    </row>
    <row r="4" spans="1:3" ht="20" customHeight="1" x14ac:dyDescent="0.15">
      <c r="A4" s="8" t="str">
        <f>'Anlagen Spezifikation'!$B23</f>
        <v>Betrachtungszeitraum in Jahren</v>
      </c>
      <c r="B4" s="38">
        <f>'Anlagen Spezifikation'!C23</f>
        <v>20</v>
      </c>
      <c r="C4" s="39">
        <f>'Anlagen Spezifikation'!D23</f>
        <v>20</v>
      </c>
    </row>
    <row r="5" spans="1:3" ht="20" customHeight="1" x14ac:dyDescent="0.15">
      <c r="A5" s="8" t="s">
        <v>44</v>
      </c>
      <c r="B5" s="65">
        <f>Kapitalwertmethode!C5</f>
        <v>6268.3683220402754</v>
      </c>
      <c r="C5" s="64">
        <f>Kapitalwertmethode!D5</f>
        <v>7778.5950951564218</v>
      </c>
    </row>
    <row r="6" spans="1:3" ht="8.25" hidden="1" customHeight="1" x14ac:dyDescent="0.15">
      <c r="A6" s="8" t="s">
        <v>66</v>
      </c>
      <c r="B6" s="38">
        <f>B5/1.001</f>
        <v>6262.1062158244513</v>
      </c>
      <c r="C6" s="39">
        <f>C5/1.001</f>
        <v>7770.8242708855369</v>
      </c>
    </row>
    <row r="7" spans="1:3" ht="8.25" hidden="1" customHeight="1" x14ac:dyDescent="0.15">
      <c r="A7" s="8" t="s">
        <v>67</v>
      </c>
      <c r="B7" s="38">
        <f>B5*1.001</f>
        <v>6274.6366903623148</v>
      </c>
      <c r="C7" s="39">
        <f>C5*1.001</f>
        <v>7786.3736902515775</v>
      </c>
    </row>
    <row r="8" spans="1:3" ht="20" customHeight="1" x14ac:dyDescent="0.15">
      <c r="A8" s="44"/>
      <c r="B8" s="45"/>
      <c r="C8" s="46"/>
    </row>
    <row r="9" spans="1:3" ht="20" customHeight="1" x14ac:dyDescent="0.15">
      <c r="A9" s="8" t="s">
        <v>68</v>
      </c>
      <c r="B9" s="42">
        <f>('Anlagen Spezifikation'!C21-'Anlagen Spezifikation'!C20)/100</f>
        <v>0.01</v>
      </c>
      <c r="C9" s="43">
        <f>('Anlagen Spezifikation'!D21-'Anlagen Spezifikation'!D20)/100</f>
        <v>0.01</v>
      </c>
    </row>
    <row r="10" spans="1:3" ht="20" customHeight="1" x14ac:dyDescent="0.15">
      <c r="A10" s="8" t="s">
        <v>69</v>
      </c>
      <c r="B10" s="38">
        <f>1+'Anlagen Spezifikation'!C21/100-'Anlagen Spezifikation'!C20/100</f>
        <v>1.01</v>
      </c>
      <c r="C10" s="39">
        <f>1+'Anlagen Spezifikation'!D21/100-'Anlagen Spezifikation'!D20/100</f>
        <v>1.01</v>
      </c>
    </row>
    <row r="11" spans="1:3" ht="20" customHeight="1" x14ac:dyDescent="0.15">
      <c r="A11" s="44"/>
      <c r="B11" s="45"/>
      <c r="C11" s="46"/>
    </row>
    <row r="12" spans="1:3" ht="20" customHeight="1" x14ac:dyDescent="0.15">
      <c r="A12" s="8" t="s">
        <v>70</v>
      </c>
      <c r="B12" s="65">
        <f>PMT(B9,'Anlagen Spezifikation'!C23,-B5)</f>
        <v>347.36360441581894</v>
      </c>
      <c r="C12" s="64">
        <f>PMT(C9,'Anlagen Spezifikation'!D23,-C5)</f>
        <v>431.05329660419142</v>
      </c>
    </row>
    <row r="13" spans="1:3" ht="20" customHeight="1" x14ac:dyDescent="0.15">
      <c r="A13" s="44"/>
      <c r="B13" s="65"/>
      <c r="C13" s="64"/>
    </row>
    <row r="14" spans="1:3" ht="20" customHeight="1" x14ac:dyDescent="0.15">
      <c r="A14" s="8" t="s">
        <v>71</v>
      </c>
      <c r="B14" s="65">
        <f>SUM(B15:B34)</f>
        <v>6268.3683220402745</v>
      </c>
      <c r="C14" s="64">
        <f>SUM(C15:C34)</f>
        <v>7778.5950951564164</v>
      </c>
    </row>
    <row r="15" spans="1:3" ht="20" customHeight="1" x14ac:dyDescent="0.15">
      <c r="A15" s="51">
        <v>1</v>
      </c>
      <c r="B15" s="65">
        <f>B12/B10</f>
        <v>343.92436080774155</v>
      </c>
      <c r="C15" s="64">
        <f>C12/C10</f>
        <v>426.78544218236772</v>
      </c>
    </row>
    <row r="16" spans="1:3" ht="20" customHeight="1" x14ac:dyDescent="0.15">
      <c r="A16" s="51">
        <v>2</v>
      </c>
      <c r="B16" s="65">
        <f t="shared" ref="B16:B34" si="0">B15/B$10</f>
        <v>340.51916911657577</v>
      </c>
      <c r="C16" s="64">
        <f t="shared" ref="C16:C34" si="1">C15/C$10</f>
        <v>422.55984374491851</v>
      </c>
    </row>
    <row r="17" spans="1:3" ht="20" customHeight="1" x14ac:dyDescent="0.15">
      <c r="A17" s="51">
        <v>3</v>
      </c>
      <c r="B17" s="65">
        <f t="shared" si="0"/>
        <v>337.14769219462949</v>
      </c>
      <c r="C17" s="64">
        <f t="shared" si="1"/>
        <v>418.37608291576089</v>
      </c>
    </row>
    <row r="18" spans="1:3" ht="20" customHeight="1" x14ac:dyDescent="0.15">
      <c r="A18" s="51">
        <v>4</v>
      </c>
      <c r="B18" s="65">
        <f t="shared" si="0"/>
        <v>333.80959623230643</v>
      </c>
      <c r="C18" s="64">
        <f t="shared" si="1"/>
        <v>414.2337454611494</v>
      </c>
    </row>
    <row r="19" spans="1:3" ht="20" customHeight="1" x14ac:dyDescent="0.15">
      <c r="A19" s="51">
        <v>5</v>
      </c>
      <c r="B19" s="65">
        <f t="shared" si="0"/>
        <v>330.50455072505588</v>
      </c>
      <c r="C19" s="64">
        <f t="shared" si="1"/>
        <v>410.13242124866275</v>
      </c>
    </row>
    <row r="20" spans="1:3" ht="20" customHeight="1" x14ac:dyDescent="0.15">
      <c r="A20" s="51">
        <v>6</v>
      </c>
      <c r="B20" s="65">
        <f t="shared" si="0"/>
        <v>327.23222844064941</v>
      </c>
      <c r="C20" s="64">
        <f t="shared" si="1"/>
        <v>406.07170420659679</v>
      </c>
    </row>
    <row r="21" spans="1:3" ht="20" customHeight="1" x14ac:dyDescent="0.15">
      <c r="A21" s="51">
        <v>7</v>
      </c>
      <c r="B21" s="65">
        <f t="shared" si="0"/>
        <v>323.9923053867816</v>
      </c>
      <c r="C21" s="64">
        <f t="shared" si="1"/>
        <v>402.05119228375918</v>
      </c>
    </row>
    <row r="22" spans="1:3" ht="20" customHeight="1" x14ac:dyDescent="0.15">
      <c r="A22" s="51">
        <v>8</v>
      </c>
      <c r="B22" s="65">
        <f t="shared" si="0"/>
        <v>320.78446077899167</v>
      </c>
      <c r="C22" s="64">
        <f t="shared" si="1"/>
        <v>398.07048740966258</v>
      </c>
    </row>
    <row r="23" spans="1:3" ht="20" customHeight="1" x14ac:dyDescent="0.15">
      <c r="A23" s="51">
        <v>9</v>
      </c>
      <c r="B23" s="65">
        <f t="shared" si="0"/>
        <v>317.60837700890266</v>
      </c>
      <c r="C23" s="64">
        <f t="shared" si="1"/>
        <v>394.12919545511147</v>
      </c>
    </row>
    <row r="24" spans="1:3" ht="20" customHeight="1" x14ac:dyDescent="0.15">
      <c r="A24" s="51">
        <v>10</v>
      </c>
      <c r="B24" s="65">
        <f t="shared" si="0"/>
        <v>314.46373961277493</v>
      </c>
      <c r="C24" s="64">
        <f t="shared" si="1"/>
        <v>390.22692619317968</v>
      </c>
    </row>
    <row r="25" spans="1:3" ht="20" customHeight="1" x14ac:dyDescent="0.15">
      <c r="A25" s="51">
        <v>11</v>
      </c>
      <c r="B25" s="65">
        <f t="shared" si="0"/>
        <v>311.3502372403712</v>
      </c>
      <c r="C25" s="64">
        <f t="shared" si="1"/>
        <v>386.36329326057393</v>
      </c>
    </row>
    <row r="26" spans="1:3" ht="20" customHeight="1" x14ac:dyDescent="0.15">
      <c r="A26" s="51">
        <v>12</v>
      </c>
      <c r="B26" s="65">
        <f t="shared" si="0"/>
        <v>308.26756162412988</v>
      </c>
      <c r="C26" s="64">
        <f t="shared" si="1"/>
        <v>382.5379141193801</v>
      </c>
    </row>
    <row r="27" spans="1:3" ht="20" customHeight="1" x14ac:dyDescent="0.15">
      <c r="A27" s="51">
        <v>13</v>
      </c>
      <c r="B27" s="65">
        <f t="shared" si="0"/>
        <v>305.21540754864344</v>
      </c>
      <c r="C27" s="64">
        <f t="shared" si="1"/>
        <v>378.75041001918822</v>
      </c>
    </row>
    <row r="28" spans="1:3" ht="20" customHeight="1" x14ac:dyDescent="0.15">
      <c r="A28" s="51">
        <v>14</v>
      </c>
      <c r="B28" s="65">
        <f t="shared" si="0"/>
        <v>302.19347282043907</v>
      </c>
      <c r="C28" s="64">
        <f t="shared" si="1"/>
        <v>375.00040595959229</v>
      </c>
    </row>
    <row r="29" spans="1:3" ht="20" customHeight="1" x14ac:dyDescent="0.15">
      <c r="A29" s="51">
        <v>15</v>
      </c>
      <c r="B29" s="65">
        <f t="shared" si="0"/>
        <v>299.20145823805848</v>
      </c>
      <c r="C29" s="64">
        <f t="shared" si="1"/>
        <v>371.28753065306165</v>
      </c>
    </row>
    <row r="30" spans="1:3" ht="20" customHeight="1" x14ac:dyDescent="0.15">
      <c r="A30" s="51">
        <v>16</v>
      </c>
      <c r="B30" s="65">
        <f t="shared" si="0"/>
        <v>296.23906756243412</v>
      </c>
      <c r="C30" s="64">
        <f t="shared" si="1"/>
        <v>367.61141648817983</v>
      </c>
    </row>
    <row r="31" spans="1:3" ht="20" customHeight="1" x14ac:dyDescent="0.15">
      <c r="A31" s="51">
        <v>17</v>
      </c>
      <c r="B31" s="65">
        <f t="shared" si="0"/>
        <v>293.30600748755853</v>
      </c>
      <c r="C31" s="64">
        <f t="shared" si="1"/>
        <v>363.97169949324734</v>
      </c>
    </row>
    <row r="32" spans="1:3" ht="20" customHeight="1" x14ac:dyDescent="0.15">
      <c r="A32" s="51">
        <v>18</v>
      </c>
      <c r="B32" s="65">
        <f t="shared" si="0"/>
        <v>290.4019876114441</v>
      </c>
      <c r="C32" s="64">
        <f t="shared" si="1"/>
        <v>360.3680193002449</v>
      </c>
    </row>
    <row r="33" spans="1:3" ht="20" customHeight="1" x14ac:dyDescent="0.15">
      <c r="A33" s="51">
        <v>19</v>
      </c>
      <c r="B33" s="65">
        <f t="shared" si="0"/>
        <v>287.52672040737042</v>
      </c>
      <c r="C33" s="64">
        <f t="shared" si="1"/>
        <v>356.80001910915337</v>
      </c>
    </row>
    <row r="34" spans="1:3" ht="20" customHeight="1" x14ac:dyDescent="0.15">
      <c r="A34" s="51">
        <v>20</v>
      </c>
      <c r="B34" s="65">
        <f t="shared" si="0"/>
        <v>284.67992119541623</v>
      </c>
      <c r="C34" s="64">
        <f t="shared" si="1"/>
        <v>353.26734565262711</v>
      </c>
    </row>
    <row r="35" spans="1:3" ht="20" customHeight="1" x14ac:dyDescent="0.15">
      <c r="A35" s="44"/>
      <c r="B35" s="60"/>
      <c r="C35" s="46"/>
    </row>
  </sheetData>
  <mergeCells count="1">
    <mergeCell ref="A1:C1"/>
  </mergeCells>
  <conditionalFormatting sqref="B6:C6">
    <cfRule type="cellIs" dxfId="3" priority="1" stopIfTrue="1" operator="equal">
      <formula>B14</formula>
    </cfRule>
  </conditionalFormatting>
  <conditionalFormatting sqref="B7:C7">
    <cfRule type="cellIs" dxfId="2" priority="2" stopIfTrue="1" operator="equal">
      <formula>B14</formula>
    </cfRule>
  </conditionalFormatting>
  <conditionalFormatting sqref="B8:C8">
    <cfRule type="cellIs" dxfId="1" priority="3" stopIfTrue="1" operator="equal">
      <formula>B14</formula>
    </cfRule>
  </conditionalFormatting>
  <conditionalFormatting sqref="B14:C14">
    <cfRule type="cellIs" dxfId="0" priority="4" stopIfTrue="1" operator="between">
      <formula>B6</formula>
      <formula>B7</formula>
    </cfRule>
  </conditionalFormatting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24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activeCell="H22" sqref="H22"/>
    </sheetView>
  </sheetViews>
  <sheetFormatPr baseColWidth="10" defaultColWidth="16.33203125" defaultRowHeight="20" customHeight="1" x14ac:dyDescent="0.15"/>
  <cols>
    <col min="1" max="1" width="18.1640625" style="61" customWidth="1"/>
    <col min="2" max="7" width="16.33203125" style="61" customWidth="1"/>
    <col min="8" max="16384" width="16.33203125" style="61"/>
  </cols>
  <sheetData>
    <row r="1" spans="1:6" ht="27.75" customHeight="1" x14ac:dyDescent="0.15">
      <c r="A1" s="69" t="s">
        <v>72</v>
      </c>
      <c r="B1" s="69"/>
      <c r="C1" s="69"/>
      <c r="D1" s="69"/>
      <c r="E1" s="69"/>
      <c r="F1" s="69"/>
    </row>
    <row r="2" spans="1:6" ht="20.25" customHeight="1" x14ac:dyDescent="0.15">
      <c r="A2" s="3" t="s">
        <v>48</v>
      </c>
      <c r="B2" s="3" t="s">
        <v>73</v>
      </c>
      <c r="C2" s="3" t="s">
        <v>74</v>
      </c>
      <c r="D2" s="3" t="s">
        <v>75</v>
      </c>
      <c r="E2" s="2"/>
      <c r="F2" s="2"/>
    </row>
    <row r="3" spans="1:6" ht="20.25" customHeight="1" x14ac:dyDescent="0.15">
      <c r="A3" s="4" t="s">
        <v>52</v>
      </c>
      <c r="B3" s="53">
        <v>8</v>
      </c>
      <c r="C3" s="54"/>
      <c r="D3" s="54"/>
      <c r="E3" s="54">
        <f>-B4+E4</f>
        <v>-9933.0886317682598</v>
      </c>
      <c r="F3" s="62" t="s">
        <v>44</v>
      </c>
    </row>
    <row r="4" spans="1:6" ht="20" customHeight="1" x14ac:dyDescent="0.15">
      <c r="A4" s="51">
        <v>0</v>
      </c>
      <c r="B4" s="40">
        <v>20000</v>
      </c>
      <c r="C4" s="41"/>
      <c r="D4" s="41"/>
      <c r="E4" s="41">
        <f>SUM(E5:E9)</f>
        <v>10066.91136823174</v>
      </c>
      <c r="F4" s="63" t="s">
        <v>76</v>
      </c>
    </row>
    <row r="5" spans="1:6" ht="20" customHeight="1" x14ac:dyDescent="0.15">
      <c r="A5" s="51">
        <v>1</v>
      </c>
      <c r="B5" s="40">
        <v>1000</v>
      </c>
      <c r="C5" s="41">
        <v>3000</v>
      </c>
      <c r="D5" s="41">
        <f>C5-B5</f>
        <v>2000</v>
      </c>
      <c r="E5" s="41">
        <f>D5/(1+$B$3/100)^$A5</f>
        <v>1851.8518518518517</v>
      </c>
      <c r="F5" s="41"/>
    </row>
    <row r="6" spans="1:6" ht="20" customHeight="1" x14ac:dyDescent="0.15">
      <c r="A6" s="51">
        <v>2</v>
      </c>
      <c r="B6" s="40">
        <v>1200</v>
      </c>
      <c r="C6" s="41">
        <v>3500</v>
      </c>
      <c r="D6" s="41">
        <f>C6-B6</f>
        <v>2300</v>
      </c>
      <c r="E6" s="41">
        <f>D6/(1+$B$3/100)^$A6</f>
        <v>1971.8792866941014</v>
      </c>
      <c r="F6" s="41"/>
    </row>
    <row r="7" spans="1:6" ht="20" customHeight="1" x14ac:dyDescent="0.15">
      <c r="A7" s="51">
        <v>3</v>
      </c>
      <c r="B7" s="40">
        <v>1300</v>
      </c>
      <c r="C7" s="41">
        <v>4000</v>
      </c>
      <c r="D7" s="41">
        <f>C7-B7</f>
        <v>2700</v>
      </c>
      <c r="E7" s="41">
        <f>D7/(1+$B$3/100)^$A7</f>
        <v>2143.347050754458</v>
      </c>
      <c r="F7" s="41"/>
    </row>
    <row r="8" spans="1:6" ht="20" customHeight="1" x14ac:dyDescent="0.15">
      <c r="A8" s="51">
        <v>4</v>
      </c>
      <c r="B8" s="40">
        <v>1400</v>
      </c>
      <c r="C8" s="41">
        <v>4200</v>
      </c>
      <c r="D8" s="41">
        <f>C8-B8</f>
        <v>2800</v>
      </c>
      <c r="E8" s="41">
        <f>D8/(1+$B$3/100)^$A8</f>
        <v>2058.0835878300691</v>
      </c>
      <c r="F8" s="41"/>
    </row>
    <row r="9" spans="1:6" ht="20" customHeight="1" x14ac:dyDescent="0.15">
      <c r="A9" s="51">
        <v>5</v>
      </c>
      <c r="B9" s="40">
        <v>1500</v>
      </c>
      <c r="C9" s="41">
        <v>4500</v>
      </c>
      <c r="D9" s="41">
        <f>C9-B9</f>
        <v>3000</v>
      </c>
      <c r="E9" s="41">
        <f>D9/(1+$B$3/100)^$A9</f>
        <v>2041.7495911012591</v>
      </c>
      <c r="F9" s="41"/>
    </row>
    <row r="10" spans="1:6" ht="20" customHeight="1" x14ac:dyDescent="0.15">
      <c r="A10" s="51">
        <v>6</v>
      </c>
      <c r="B10" s="45"/>
      <c r="C10" s="46"/>
      <c r="D10" s="46"/>
      <c r="E10" s="64"/>
      <c r="F10" s="64"/>
    </row>
    <row r="11" spans="1:6" ht="20" customHeight="1" x14ac:dyDescent="0.15">
      <c r="A11" s="51">
        <v>7</v>
      </c>
      <c r="B11" s="45"/>
      <c r="C11" s="46"/>
      <c r="D11" s="46"/>
      <c r="E11" s="64"/>
      <c r="F11" s="64"/>
    </row>
    <row r="12" spans="1:6" ht="20" customHeight="1" x14ac:dyDescent="0.15">
      <c r="A12" s="51">
        <v>8</v>
      </c>
      <c r="B12" s="45"/>
      <c r="C12" s="46"/>
      <c r="D12" s="46"/>
      <c r="E12" s="64"/>
      <c r="F12" s="64"/>
    </row>
    <row r="13" spans="1:6" ht="20" customHeight="1" x14ac:dyDescent="0.15">
      <c r="A13" s="51">
        <v>9</v>
      </c>
      <c r="B13" s="45"/>
      <c r="C13" s="46"/>
      <c r="D13" s="46"/>
      <c r="E13" s="64"/>
      <c r="F13" s="64"/>
    </row>
    <row r="14" spans="1:6" ht="20" customHeight="1" x14ac:dyDescent="0.15">
      <c r="A14" s="51">
        <v>10</v>
      </c>
      <c r="B14" s="45"/>
      <c r="C14" s="46"/>
      <c r="D14" s="46"/>
      <c r="E14" s="64"/>
      <c r="F14" s="64"/>
    </row>
    <row r="15" spans="1:6" ht="20" customHeight="1" x14ac:dyDescent="0.15">
      <c r="A15" s="51">
        <v>11</v>
      </c>
      <c r="B15" s="45"/>
      <c r="C15" s="46"/>
      <c r="D15" s="46"/>
      <c r="E15" s="64"/>
      <c r="F15" s="64"/>
    </row>
    <row r="16" spans="1:6" ht="20" customHeight="1" x14ac:dyDescent="0.15">
      <c r="A16" s="51">
        <v>12</v>
      </c>
      <c r="B16" s="45"/>
      <c r="C16" s="46"/>
      <c r="D16" s="46"/>
      <c r="E16" s="64"/>
      <c r="F16" s="64"/>
    </row>
    <row r="17" spans="1:6" ht="20" customHeight="1" x14ac:dyDescent="0.15">
      <c r="A17" s="51">
        <v>13</v>
      </c>
      <c r="B17" s="45"/>
      <c r="C17" s="46"/>
      <c r="D17" s="46"/>
      <c r="E17" s="64"/>
      <c r="F17" s="64"/>
    </row>
    <row r="18" spans="1:6" ht="20" customHeight="1" x14ac:dyDescent="0.15">
      <c r="A18" s="51">
        <v>14</v>
      </c>
      <c r="B18" s="45"/>
      <c r="C18" s="46"/>
      <c r="D18" s="46"/>
      <c r="E18" s="64"/>
      <c r="F18" s="64"/>
    </row>
    <row r="19" spans="1:6" ht="20" customHeight="1" x14ac:dyDescent="0.15">
      <c r="A19" s="51">
        <v>15</v>
      </c>
      <c r="B19" s="45"/>
      <c r="C19" s="46"/>
      <c r="D19" s="46"/>
      <c r="E19" s="64"/>
      <c r="F19" s="64"/>
    </row>
    <row r="20" spans="1:6" ht="20" customHeight="1" x14ac:dyDescent="0.15">
      <c r="A20" s="51">
        <v>16</v>
      </c>
      <c r="B20" s="45"/>
      <c r="C20" s="46"/>
      <c r="D20" s="46"/>
      <c r="E20" s="64"/>
      <c r="F20" s="64"/>
    </row>
    <row r="21" spans="1:6" ht="20" customHeight="1" x14ac:dyDescent="0.15">
      <c r="A21" s="51">
        <v>17</v>
      </c>
      <c r="B21" s="45"/>
      <c r="C21" s="46"/>
      <c r="D21" s="46"/>
      <c r="E21" s="64"/>
      <c r="F21" s="64"/>
    </row>
    <row r="22" spans="1:6" ht="20" customHeight="1" x14ac:dyDescent="0.15">
      <c r="A22" s="51">
        <v>18</v>
      </c>
      <c r="B22" s="45"/>
      <c r="C22" s="46"/>
      <c r="D22" s="46"/>
      <c r="E22" s="64"/>
      <c r="F22" s="64"/>
    </row>
    <row r="23" spans="1:6" ht="20" customHeight="1" x14ac:dyDescent="0.15">
      <c r="A23" s="51">
        <v>19</v>
      </c>
      <c r="B23" s="45"/>
      <c r="C23" s="46"/>
      <c r="D23" s="46"/>
      <c r="E23" s="64"/>
      <c r="F23" s="64"/>
    </row>
    <row r="24" spans="1:6" ht="20" customHeight="1" x14ac:dyDescent="0.15">
      <c r="A24" s="51">
        <v>20</v>
      </c>
      <c r="B24" s="45"/>
      <c r="C24" s="46"/>
      <c r="D24" s="46"/>
      <c r="E24" s="64"/>
      <c r="F24" s="64"/>
    </row>
  </sheetData>
  <mergeCells count="1">
    <mergeCell ref="A1:F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Anlagen Spezifikation</vt:lpstr>
      <vt:lpstr>Kennwerte</vt:lpstr>
      <vt:lpstr>NPV</vt:lpstr>
      <vt:lpstr>Kapitalwertmethode</vt:lpstr>
      <vt:lpstr>Dynamische Amortisation</vt:lpstr>
      <vt:lpstr>Zinsfussmethode</vt:lpstr>
      <vt:lpstr>Annuitätsmethode</vt:lpstr>
      <vt:lpstr>Hilftstabelle - Barwert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Klaus-Peter Rosenthal</cp:lastModifiedBy>
  <dcterms:modified xsi:type="dcterms:W3CDTF">2023-10-04T17:52:28Z</dcterms:modified>
</cp:coreProperties>
</file>